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/>
  <xr:revisionPtr revIDLastSave="552" documentId="8_{4DDBD83F-5128-40EE-AE77-4CCE89575EAC}" xr6:coauthVersionLast="46" xr6:coauthVersionMax="46" xr10:uidLastSave="{B26893DB-458C-46DC-BD6D-9C8CE5F56A54}"/>
  <bookViews>
    <workbookView xWindow="-108" yWindow="-108" windowWidth="23256" windowHeight="12576" tabRatio="871" xr2:uid="{00000000-000D-0000-FFFF-FFFF00000000}"/>
  </bookViews>
  <sheets>
    <sheet name="Contents" sheetId="6" r:id="rId1"/>
    <sheet name="hiddenPage" sheetId="10" state="hidden" r:id="rId2"/>
    <sheet name="Snapshots" sheetId="8" r:id="rId3"/>
    <sheet name="Group" sheetId="14" r:id="rId4"/>
    <sheet name="1.FinancialPosition" sheetId="1" r:id="rId5"/>
    <sheet name="2.Comprehensive income" sheetId="2" r:id="rId6"/>
    <sheet name="3.Statement of cash flow" sheetId="7" r:id="rId7"/>
    <sheet name="4.Financial ratios" sheetId="3" r:id="rId8"/>
    <sheet name="Charts" sheetId="9" r:id="rId9"/>
    <sheet name="EBIT-EBITDA" sheetId="5" r:id="rId10"/>
  </sheets>
  <definedNames>
    <definedName name="_xlnm._FilterDatabase" localSheetId="3" hidden="1">Group!$A$3:$J$3</definedName>
    <definedName name="Area">INDEX(hiddenPage!XEW1048572:XEW1,MATCH(hiddenPage!B1048571,hiddenPage!XFD1048572:XFD1,0)):INDEX(hiddenPage!XEW1048572:XEW1,MATCH(hiddenPage!B1048572,hiddenPage!XFD1048572:XFD1,0))</definedName>
    <definedName name="Data">IF(hiddenPage!$J$25=4,Selection3,IF(hiddenPage!$J$25=5,Selection2,Selection1))</definedName>
    <definedName name="List1">hiddenPage!$L$3:$L$12</definedName>
    <definedName name="List2">hiddenPage!$N$3:$N$6</definedName>
    <definedName name="List3">hiddenPage!$X$3:$X$7</definedName>
    <definedName name="Selection1">hiddenPage!$A$25:$G$30</definedName>
    <definedName name="Selection2">hiddenPage!$A$25:$G$29</definedName>
    <definedName name="Selection3">hiddenPage!$A$25:$G$28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4" i="2" l="1"/>
  <c r="H11" i="1"/>
  <c r="E18" i="2" l="1"/>
  <c r="H10" i="8"/>
  <c r="K10" i="8" s="1"/>
  <c r="G10" i="8"/>
  <c r="E10" i="8"/>
  <c r="D10" i="8"/>
  <c r="I10" i="8" l="1"/>
  <c r="J10" i="8"/>
  <c r="D16" i="3" l="1"/>
  <c r="D15" i="3"/>
  <c r="L54" i="10" l="1"/>
  <c r="L55" i="10" s="1"/>
  <c r="L56" i="10" s="1"/>
  <c r="L57" i="10" s="1"/>
  <c r="L58" i="10" s="1"/>
  <c r="L53" i="10"/>
  <c r="K8" i="8" l="1"/>
  <c r="J8" i="8"/>
  <c r="I8" i="8"/>
  <c r="H5" i="8"/>
  <c r="G5" i="8"/>
  <c r="F5" i="8"/>
  <c r="E5" i="8"/>
  <c r="D5" i="8"/>
  <c r="H6" i="8"/>
  <c r="G6" i="8"/>
  <c r="F6" i="8"/>
  <c r="E6" i="8"/>
  <c r="D6" i="8"/>
  <c r="F67" i="7"/>
  <c r="E67" i="7"/>
  <c r="D67" i="7"/>
  <c r="C67" i="7"/>
  <c r="F58" i="7"/>
  <c r="E58" i="7"/>
  <c r="D58" i="7"/>
  <c r="C58" i="7"/>
  <c r="D4" i="7"/>
  <c r="E4" i="7" s="1"/>
  <c r="F4" i="7" s="1"/>
  <c r="E21" i="2" l="1"/>
  <c r="C21" i="2"/>
  <c r="G53" i="2"/>
  <c r="J15" i="2"/>
  <c r="I15" i="2"/>
  <c r="H15" i="2"/>
  <c r="J14" i="2"/>
  <c r="I14" i="2"/>
  <c r="H14" i="2"/>
  <c r="J13" i="2"/>
  <c r="I13" i="2"/>
  <c r="H13" i="2"/>
  <c r="C16" i="2"/>
  <c r="C6" i="7" s="1"/>
  <c r="C37" i="7" s="1"/>
  <c r="C43" i="7" s="1"/>
  <c r="C69" i="7" s="1"/>
  <c r="C75" i="7" s="1"/>
  <c r="C77" i="7" s="1"/>
  <c r="G12" i="2"/>
  <c r="G16" i="2" s="1"/>
  <c r="F12" i="2"/>
  <c r="F16" i="2" s="1"/>
  <c r="F6" i="7" s="1"/>
  <c r="F37" i="7" s="1"/>
  <c r="F43" i="7" s="1"/>
  <c r="F69" i="7" s="1"/>
  <c r="E12" i="2"/>
  <c r="E16" i="2" s="1"/>
  <c r="D12" i="2"/>
  <c r="D16" i="2" s="1"/>
  <c r="D6" i="7" s="1"/>
  <c r="D37" i="7" s="1"/>
  <c r="D43" i="7" s="1"/>
  <c r="D69" i="7" s="1"/>
  <c r="D75" i="7" s="1"/>
  <c r="D77" i="7" s="1"/>
  <c r="C12" i="2"/>
  <c r="D3" i="2"/>
  <c r="E3" i="2" s="1"/>
  <c r="F3" i="2" s="1"/>
  <c r="G3" i="2" s="1"/>
  <c r="F18" i="1"/>
  <c r="E19" i="1"/>
  <c r="F37" i="1"/>
  <c r="D3" i="1"/>
  <c r="E3" i="1" s="1"/>
  <c r="F3" i="1" s="1"/>
  <c r="G3" i="1" s="1"/>
  <c r="E6" i="7" l="1"/>
  <c r="E37" i="7" s="1"/>
  <c r="E43" i="7" s="1"/>
  <c r="E69" i="7" s="1"/>
  <c r="E75" i="7" s="1"/>
  <c r="E28" i="2"/>
  <c r="K6" i="8"/>
  <c r="F71" i="7" l="1"/>
  <c r="F75" i="7" s="1"/>
  <c r="F77" i="7" s="1"/>
  <c r="E77" i="7"/>
  <c r="I6" i="8"/>
  <c r="J6" i="8"/>
  <c r="K28" i="1"/>
  <c r="J15" i="1"/>
  <c r="I15" i="1"/>
  <c r="K13" i="1"/>
  <c r="A66" i="10"/>
  <c r="E3" i="8"/>
  <c r="F3" i="8"/>
  <c r="G3" i="8"/>
  <c r="H3" i="8"/>
  <c r="D3" i="8"/>
  <c r="J10" i="2"/>
  <c r="I10" i="2"/>
  <c r="H10" i="2"/>
  <c r="J9" i="2"/>
  <c r="I9" i="2"/>
  <c r="H9" i="2"/>
  <c r="J8" i="2"/>
  <c r="I8" i="2"/>
  <c r="H8" i="2"/>
  <c r="J7" i="2"/>
  <c r="I7" i="2"/>
  <c r="H7" i="2"/>
  <c r="C3" i="5" l="1"/>
  <c r="G3" i="5"/>
  <c r="F3" i="5"/>
  <c r="E3" i="5"/>
  <c r="D3" i="5"/>
  <c r="E3" i="3"/>
  <c r="F3" i="3" s="1"/>
  <c r="G3" i="3" s="1"/>
  <c r="H3" i="3" s="1"/>
  <c r="G4" i="7"/>
  <c r="D45" i="2"/>
  <c r="E45" i="2"/>
  <c r="F45" i="2"/>
  <c r="G45" i="2"/>
  <c r="C45" i="2"/>
  <c r="L45" i="2" s="1"/>
  <c r="D31" i="2"/>
  <c r="M31" i="2" s="1"/>
  <c r="E31" i="2"/>
  <c r="N31" i="2" s="1"/>
  <c r="F31" i="2"/>
  <c r="O31" i="2" s="1"/>
  <c r="G31" i="2"/>
  <c r="P31" i="2" s="1"/>
  <c r="C31" i="2"/>
  <c r="L31" i="2" s="1"/>
  <c r="F52" i="2"/>
  <c r="E52" i="2"/>
  <c r="D52" i="2"/>
  <c r="C52" i="2"/>
  <c r="L46" i="2" s="1"/>
  <c r="F39" i="2"/>
  <c r="E39" i="2"/>
  <c r="D39" i="2"/>
  <c r="C39" i="2"/>
  <c r="F21" i="2"/>
  <c r="E25" i="2"/>
  <c r="D21" i="2"/>
  <c r="C25" i="2"/>
  <c r="F18" i="2"/>
  <c r="D18" i="2"/>
  <c r="C18" i="2"/>
  <c r="C28" i="2" s="1"/>
  <c r="F35" i="1"/>
  <c r="E35" i="1"/>
  <c r="E36" i="1" s="1"/>
  <c r="D35" i="1"/>
  <c r="C35" i="1"/>
  <c r="F31" i="1"/>
  <c r="E31" i="1"/>
  <c r="D31" i="1"/>
  <c r="C31" i="1"/>
  <c r="F26" i="1"/>
  <c r="E26" i="1"/>
  <c r="D26" i="1"/>
  <c r="C26" i="1"/>
  <c r="E18" i="1"/>
  <c r="D18" i="1"/>
  <c r="E16" i="8" s="1"/>
  <c r="C18" i="1"/>
  <c r="D16" i="8" s="1"/>
  <c r="F11" i="1"/>
  <c r="F19" i="1" s="1"/>
  <c r="E11" i="1"/>
  <c r="D11" i="1"/>
  <c r="D19" i="1" s="1"/>
  <c r="C11" i="1"/>
  <c r="D25" i="2" l="1"/>
  <c r="D28" i="2"/>
  <c r="F25" i="2"/>
  <c r="F28" i="2"/>
  <c r="E54" i="2"/>
  <c r="N47" i="2"/>
  <c r="N52" i="2"/>
  <c r="N50" i="2"/>
  <c r="N48" i="2"/>
  <c r="N46" i="2"/>
  <c r="N51" i="2"/>
  <c r="N49" i="2"/>
  <c r="F54" i="2"/>
  <c r="O50" i="2"/>
  <c r="O48" i="2"/>
  <c r="O49" i="2"/>
  <c r="O52" i="2"/>
  <c r="O46" i="2"/>
  <c r="O47" i="2"/>
  <c r="O51" i="2"/>
  <c r="D54" i="2"/>
  <c r="M50" i="2"/>
  <c r="M48" i="2"/>
  <c r="M47" i="2"/>
  <c r="M51" i="2"/>
  <c r="M46" i="2"/>
  <c r="M52" i="2"/>
  <c r="M49" i="2"/>
  <c r="M33" i="2"/>
  <c r="M35" i="2"/>
  <c r="M32" i="2"/>
  <c r="M40" i="2"/>
  <c r="M38" i="2"/>
  <c r="M36" i="2"/>
  <c r="M34" i="2"/>
  <c r="D41" i="2"/>
  <c r="M39" i="2"/>
  <c r="M37" i="2"/>
  <c r="F41" i="2"/>
  <c r="O34" i="2"/>
  <c r="O40" i="2"/>
  <c r="O38" i="2"/>
  <c r="O36" i="2"/>
  <c r="O32" i="2"/>
  <c r="O37" i="2"/>
  <c r="O39" i="2"/>
  <c r="O35" i="2"/>
  <c r="O33" i="2"/>
  <c r="N40" i="2"/>
  <c r="N38" i="2"/>
  <c r="N36" i="2"/>
  <c r="N34" i="2"/>
  <c r="N32" i="2"/>
  <c r="N33" i="2"/>
  <c r="N35" i="2"/>
  <c r="E41" i="2"/>
  <c r="N39" i="2"/>
  <c r="N37" i="2"/>
  <c r="L32" i="2"/>
  <c r="C41" i="2"/>
  <c r="C42" i="2" s="1"/>
  <c r="E37" i="1"/>
  <c r="F36" i="1"/>
  <c r="F38" i="1" s="1"/>
  <c r="G16" i="8"/>
  <c r="F16" i="8"/>
  <c r="C36" i="1"/>
  <c r="C37" i="1" s="1"/>
  <c r="C19" i="1"/>
  <c r="D36" i="1"/>
  <c r="D37" i="1" s="1"/>
  <c r="D38" i="1" s="1"/>
  <c r="E38" i="1"/>
  <c r="Q62" i="10"/>
  <c r="N41" i="2" l="1"/>
  <c r="E42" i="2"/>
  <c r="O41" i="2"/>
  <c r="F42" i="2"/>
  <c r="M41" i="2"/>
  <c r="D42" i="2"/>
  <c r="C38" i="1"/>
  <c r="J27" i="2"/>
  <c r="I27" i="2"/>
  <c r="H27" i="2"/>
  <c r="H23" i="2" l="1"/>
  <c r="I23" i="2"/>
  <c r="G21" i="2"/>
  <c r="G18" i="2"/>
  <c r="H9" i="8" s="1"/>
  <c r="G9" i="8"/>
  <c r="F9" i="8"/>
  <c r="F10" i="8" s="1"/>
  <c r="E9" i="8"/>
  <c r="D9" i="8"/>
  <c r="J53" i="2"/>
  <c r="I53" i="2"/>
  <c r="H53" i="2"/>
  <c r="G25" i="2" l="1"/>
  <c r="G28" i="2"/>
  <c r="K9" i="8"/>
  <c r="J9" i="8"/>
  <c r="G2" i="14"/>
  <c r="H2" i="14" s="1"/>
  <c r="G6" i="7" l="1"/>
  <c r="G37" i="7" s="1"/>
  <c r="G43" i="7" s="1"/>
  <c r="G71" i="7"/>
  <c r="B9" i="10" l="1"/>
  <c r="B15" i="10" s="1"/>
  <c r="C3" i="10"/>
  <c r="D3" i="10" s="1"/>
  <c r="E18" i="3"/>
  <c r="M45" i="2"/>
  <c r="N45" i="2" s="1"/>
  <c r="O45" i="2" s="1"/>
  <c r="P45" i="2" s="1"/>
  <c r="J48" i="2"/>
  <c r="J49" i="2"/>
  <c r="J50" i="2"/>
  <c r="J51" i="2"/>
  <c r="D5" i="5"/>
  <c r="E5" i="5"/>
  <c r="F5" i="5"/>
  <c r="G5" i="5"/>
  <c r="C5" i="5"/>
  <c r="G4" i="5"/>
  <c r="D4" i="5"/>
  <c r="E4" i="5"/>
  <c r="F4" i="5"/>
  <c r="C4" i="5"/>
  <c r="G39" i="2"/>
  <c r="I37" i="2"/>
  <c r="I38" i="2"/>
  <c r="H38" i="2"/>
  <c r="L40" i="2"/>
  <c r="J33" i="2"/>
  <c r="J34" i="2"/>
  <c r="J36" i="2"/>
  <c r="J40" i="2"/>
  <c r="J26" i="2"/>
  <c r="I26" i="2"/>
  <c r="H26" i="2"/>
  <c r="J25" i="2"/>
  <c r="I25" i="2"/>
  <c r="H25" i="2"/>
  <c r="I24" i="2"/>
  <c r="H24" i="2"/>
  <c r="J22" i="2"/>
  <c r="I22" i="2"/>
  <c r="H22" i="2"/>
  <c r="J21" i="2"/>
  <c r="I21" i="2"/>
  <c r="H21" i="2"/>
  <c r="J20" i="2"/>
  <c r="I20" i="2"/>
  <c r="H20" i="2"/>
  <c r="J19" i="2"/>
  <c r="I19" i="2"/>
  <c r="H19" i="2"/>
  <c r="J18" i="2"/>
  <c r="I18" i="2"/>
  <c r="H18" i="2"/>
  <c r="J17" i="2"/>
  <c r="I17" i="2"/>
  <c r="H17" i="2"/>
  <c r="J16" i="2"/>
  <c r="I16" i="2"/>
  <c r="H16" i="2"/>
  <c r="J12" i="2"/>
  <c r="I12" i="2"/>
  <c r="H12" i="2"/>
  <c r="J11" i="2"/>
  <c r="I11" i="2"/>
  <c r="H11" i="2"/>
  <c r="J6" i="2"/>
  <c r="I6" i="2"/>
  <c r="H6" i="2"/>
  <c r="J5" i="2"/>
  <c r="I5" i="2"/>
  <c r="H5" i="2"/>
  <c r="D11" i="8"/>
  <c r="E11" i="8"/>
  <c r="E12" i="8"/>
  <c r="D18" i="3"/>
  <c r="E13" i="8"/>
  <c r="D12" i="3"/>
  <c r="G13" i="8"/>
  <c r="G26" i="1"/>
  <c r="H18" i="3" s="1"/>
  <c r="F18" i="3"/>
  <c r="G35" i="1"/>
  <c r="G31" i="1"/>
  <c r="K31" i="1" s="1"/>
  <c r="G18" i="1"/>
  <c r="F12" i="8"/>
  <c r="G11" i="8"/>
  <c r="G11" i="1"/>
  <c r="H11" i="8" s="1"/>
  <c r="F11" i="8"/>
  <c r="K34" i="1"/>
  <c r="J34" i="1"/>
  <c r="I34" i="1"/>
  <c r="K33" i="1"/>
  <c r="J33" i="1"/>
  <c r="I33" i="1"/>
  <c r="K32" i="1"/>
  <c r="J32" i="1"/>
  <c r="I32" i="1"/>
  <c r="K30" i="1"/>
  <c r="J30" i="1"/>
  <c r="I30" i="1"/>
  <c r="K29" i="1"/>
  <c r="J29" i="1"/>
  <c r="I29" i="1"/>
  <c r="J28" i="1"/>
  <c r="I28" i="1"/>
  <c r="K27" i="1"/>
  <c r="J27" i="1"/>
  <c r="I27" i="1"/>
  <c r="K25" i="1"/>
  <c r="J25" i="1"/>
  <c r="I25" i="1"/>
  <c r="K24" i="1"/>
  <c r="J24" i="1"/>
  <c r="I24" i="1"/>
  <c r="K23" i="1"/>
  <c r="J23" i="1"/>
  <c r="I23" i="1"/>
  <c r="K22" i="1"/>
  <c r="J22" i="1"/>
  <c r="I22" i="1"/>
  <c r="K21" i="1"/>
  <c r="J21" i="1"/>
  <c r="I21" i="1"/>
  <c r="K20" i="1"/>
  <c r="J20" i="1"/>
  <c r="I20" i="1"/>
  <c r="K17" i="1"/>
  <c r="J17" i="1"/>
  <c r="I17" i="1"/>
  <c r="K16" i="1"/>
  <c r="J16" i="1"/>
  <c r="I16" i="1"/>
  <c r="K14" i="1"/>
  <c r="J14" i="1"/>
  <c r="I14" i="1"/>
  <c r="J13" i="1"/>
  <c r="I13" i="1"/>
  <c r="K12" i="1"/>
  <c r="J12" i="1"/>
  <c r="I12" i="1"/>
  <c r="K10" i="1"/>
  <c r="J10" i="1"/>
  <c r="I10" i="1"/>
  <c r="K8" i="1"/>
  <c r="J8" i="1"/>
  <c r="I8" i="1"/>
  <c r="B24" i="10" l="1"/>
  <c r="B62" i="10"/>
  <c r="G41" i="2"/>
  <c r="G42" i="2" s="1"/>
  <c r="P33" i="2"/>
  <c r="P37" i="2"/>
  <c r="P34" i="2"/>
  <c r="P32" i="2"/>
  <c r="P36" i="2"/>
  <c r="P35" i="2"/>
  <c r="P40" i="2"/>
  <c r="P39" i="2"/>
  <c r="P38" i="2"/>
  <c r="I18" i="1"/>
  <c r="H16" i="8"/>
  <c r="J18" i="1"/>
  <c r="G18" i="3"/>
  <c r="E11" i="3"/>
  <c r="I26" i="1"/>
  <c r="J26" i="1"/>
  <c r="K26" i="1"/>
  <c r="G12" i="8"/>
  <c r="G11" i="3"/>
  <c r="K18" i="1"/>
  <c r="H13" i="8"/>
  <c r="D14" i="8"/>
  <c r="D12" i="8"/>
  <c r="D11" i="3"/>
  <c r="G14" i="8"/>
  <c r="H12" i="8"/>
  <c r="E12" i="3"/>
  <c r="G19" i="1"/>
  <c r="F11" i="3"/>
  <c r="D13" i="8"/>
  <c r="G12" i="3"/>
  <c r="D10" i="3"/>
  <c r="G10" i="3"/>
  <c r="I11" i="1"/>
  <c r="H11" i="3"/>
  <c r="H12" i="3"/>
  <c r="L38" i="2"/>
  <c r="F12" i="3"/>
  <c r="F13" i="8"/>
  <c r="F17" i="3"/>
  <c r="H10" i="3"/>
  <c r="J35" i="1"/>
  <c r="F10" i="3"/>
  <c r="E10" i="3"/>
  <c r="L35" i="2"/>
  <c r="L36" i="2"/>
  <c r="L41" i="2"/>
  <c r="L33" i="2"/>
  <c r="L37" i="2"/>
  <c r="L39" i="2"/>
  <c r="L34" i="2"/>
  <c r="D9" i="10"/>
  <c r="D15" i="10" s="1"/>
  <c r="E3" i="10"/>
  <c r="C9" i="10"/>
  <c r="C15" i="10" s="1"/>
  <c r="C7" i="5"/>
  <c r="D14" i="3" s="1"/>
  <c r="K35" i="1"/>
  <c r="G17" i="3"/>
  <c r="G36" i="1"/>
  <c r="J36" i="1" s="1"/>
  <c r="K11" i="1"/>
  <c r="J39" i="2"/>
  <c r="E17" i="3"/>
  <c r="D17" i="3"/>
  <c r="D13" i="3"/>
  <c r="I35" i="1"/>
  <c r="I31" i="1"/>
  <c r="J31" i="1"/>
  <c r="J11" i="1"/>
  <c r="K4" i="1"/>
  <c r="C24" i="10" l="1"/>
  <c r="C62" i="10"/>
  <c r="D24" i="10"/>
  <c r="D62" i="10"/>
  <c r="P41" i="2"/>
  <c r="J41" i="2"/>
  <c r="K16" i="8"/>
  <c r="J16" i="8"/>
  <c r="I16" i="8"/>
  <c r="H17" i="3"/>
  <c r="H15" i="1"/>
  <c r="D15" i="8"/>
  <c r="G15" i="8"/>
  <c r="H19" i="1"/>
  <c r="H20" i="1"/>
  <c r="H24" i="1"/>
  <c r="H22" i="1"/>
  <c r="K36" i="1"/>
  <c r="H27" i="1"/>
  <c r="H31" i="1"/>
  <c r="H21" i="1"/>
  <c r="I19" i="1"/>
  <c r="H5" i="1"/>
  <c r="H6" i="1"/>
  <c r="H16" i="1"/>
  <c r="H34" i="1"/>
  <c r="H14" i="1"/>
  <c r="H30" i="1"/>
  <c r="H35" i="1"/>
  <c r="K19" i="1"/>
  <c r="H12" i="1"/>
  <c r="H29" i="1"/>
  <c r="H23" i="1"/>
  <c r="H28" i="1"/>
  <c r="H10" i="1"/>
  <c r="H25" i="1"/>
  <c r="H7" i="1"/>
  <c r="H33" i="1"/>
  <c r="J19" i="1"/>
  <c r="H26" i="1"/>
  <c r="H18" i="1"/>
  <c r="H13" i="1"/>
  <c r="H8" i="1"/>
  <c r="H4" i="1"/>
  <c r="H17" i="1"/>
  <c r="H32" i="1"/>
  <c r="I36" i="1"/>
  <c r="H14" i="8"/>
  <c r="H15" i="8" s="1"/>
  <c r="G13" i="3"/>
  <c r="F14" i="8"/>
  <c r="F15" i="8" s="1"/>
  <c r="E14" i="8"/>
  <c r="E15" i="8" s="1"/>
  <c r="E13" i="3"/>
  <c r="F3" i="10"/>
  <c r="F9" i="10" s="1"/>
  <c r="F15" i="10" s="1"/>
  <c r="E9" i="10"/>
  <c r="E15" i="10" s="1"/>
  <c r="H36" i="1"/>
  <c r="G37" i="1"/>
  <c r="H13" i="3" s="1"/>
  <c r="H51" i="2"/>
  <c r="H50" i="2"/>
  <c r="H49" i="2"/>
  <c r="H48" i="2"/>
  <c r="H47" i="2"/>
  <c r="H46" i="2"/>
  <c r="H41" i="2"/>
  <c r="H40" i="2"/>
  <c r="H39" i="2"/>
  <c r="H37" i="2"/>
  <c r="H36" i="2"/>
  <c r="H35" i="2"/>
  <c r="H34" i="2"/>
  <c r="H33" i="2"/>
  <c r="H4" i="2"/>
  <c r="H3" i="2"/>
  <c r="H31" i="2"/>
  <c r="H45" i="2"/>
  <c r="E24" i="10" l="1"/>
  <c r="E62" i="10"/>
  <c r="F24" i="10"/>
  <c r="F62" i="10"/>
  <c r="K15" i="8"/>
  <c r="J15" i="8"/>
  <c r="I15" i="8"/>
  <c r="F13" i="3"/>
  <c r="I37" i="1"/>
  <c r="J37" i="1"/>
  <c r="G38" i="1"/>
  <c r="K37" i="1"/>
  <c r="H37" i="1"/>
  <c r="AD24" i="10" l="1"/>
  <c r="AD25" i="10"/>
  <c r="AD29" i="10"/>
  <c r="AD31" i="10"/>
  <c r="AD32" i="10"/>
  <c r="AD33" i="10"/>
  <c r="AD34" i="10"/>
  <c r="AD35" i="10"/>
  <c r="AD36" i="10"/>
  <c r="AD16" i="10"/>
  <c r="AD17" i="10"/>
  <c r="AD18" i="10"/>
  <c r="AD19" i="10"/>
  <c r="AD20" i="10"/>
  <c r="AD21" i="10"/>
  <c r="AD22" i="10"/>
  <c r="AD23" i="10"/>
  <c r="C14" i="10" l="1"/>
  <c r="D14" i="10"/>
  <c r="E14" i="10"/>
  <c r="F14" i="10"/>
  <c r="G14" i="10"/>
  <c r="H14" i="10"/>
  <c r="B14" i="10"/>
  <c r="A13" i="10"/>
  <c r="B50" i="10" l="1"/>
  <c r="D50" i="10" l="1"/>
  <c r="E51" i="10"/>
  <c r="C50" i="10"/>
  <c r="H4" i="8"/>
  <c r="G7" i="5"/>
  <c r="G10" i="5" s="1"/>
  <c r="H7" i="8" s="1"/>
  <c r="G67" i="7"/>
  <c r="G58" i="7"/>
  <c r="G52" i="2"/>
  <c r="I51" i="2"/>
  <c r="I50" i="2"/>
  <c r="I49" i="2"/>
  <c r="I48" i="2"/>
  <c r="J47" i="2"/>
  <c r="I47" i="2"/>
  <c r="J46" i="2"/>
  <c r="I46" i="2"/>
  <c r="I41" i="2"/>
  <c r="I40" i="2"/>
  <c r="I39" i="2"/>
  <c r="I36" i="2"/>
  <c r="I35" i="2"/>
  <c r="I34" i="2"/>
  <c r="I33" i="2"/>
  <c r="J4" i="2"/>
  <c r="I4" i="2"/>
  <c r="K7" i="1"/>
  <c r="J7" i="1"/>
  <c r="I7" i="1"/>
  <c r="K6" i="1"/>
  <c r="J6" i="1"/>
  <c r="I6" i="1"/>
  <c r="K5" i="1"/>
  <c r="J5" i="1"/>
  <c r="I5" i="1"/>
  <c r="J4" i="1"/>
  <c r="I4" i="1"/>
  <c r="I3" i="1"/>
  <c r="I3" i="8"/>
  <c r="P52" i="2" l="1"/>
  <c r="P46" i="2"/>
  <c r="P51" i="2"/>
  <c r="P50" i="2"/>
  <c r="P49" i="2"/>
  <c r="P48" i="2"/>
  <c r="P47" i="2"/>
  <c r="G54" i="2"/>
  <c r="G69" i="7"/>
  <c r="E50" i="10"/>
  <c r="F51" i="10"/>
  <c r="H5" i="3"/>
  <c r="H14" i="3"/>
  <c r="H4" i="3"/>
  <c r="A32" i="10"/>
  <c r="D32" i="10" s="1"/>
  <c r="A34" i="10"/>
  <c r="A35" i="10" s="1"/>
  <c r="A36" i="10" s="1"/>
  <c r="A37" i="10" s="1"/>
  <c r="H6" i="3" l="1"/>
  <c r="H8" i="3"/>
  <c r="B37" i="10"/>
  <c r="B36" i="10"/>
  <c r="B35" i="10"/>
  <c r="B34" i="10"/>
  <c r="B33" i="10"/>
  <c r="F42" i="10" s="1"/>
  <c r="G51" i="10"/>
  <c r="F50" i="10"/>
  <c r="H7" i="3" l="1"/>
  <c r="H15" i="3"/>
  <c r="H16" i="3"/>
  <c r="H9" i="3"/>
  <c r="H19" i="3"/>
  <c r="G46" i="10"/>
  <c r="D46" i="10" s="1"/>
  <c r="G44" i="10"/>
  <c r="E44" i="10" s="1"/>
  <c r="G45" i="10"/>
  <c r="E45" i="10" s="1"/>
  <c r="G43" i="10"/>
  <c r="H51" i="10"/>
  <c r="H50" i="10" s="1"/>
  <c r="G50" i="10"/>
  <c r="AD4" i="10"/>
  <c r="AD5" i="10"/>
  <c r="AD6" i="10"/>
  <c r="AD3" i="10"/>
  <c r="I54" i="10" l="1"/>
  <c r="I55" i="10"/>
  <c r="I56" i="10"/>
  <c r="I57" i="10"/>
  <c r="I52" i="10"/>
  <c r="I58" i="10"/>
  <c r="I53" i="10"/>
  <c r="E46" i="10"/>
  <c r="D45" i="10"/>
  <c r="D44" i="10"/>
  <c r="AA4" i="10"/>
  <c r="AA5" i="10" s="1"/>
  <c r="AA6" i="10" s="1"/>
  <c r="AA7" i="10" s="1"/>
  <c r="I9" i="10"/>
  <c r="C8" i="10"/>
  <c r="D8" i="10"/>
  <c r="E8" i="10"/>
  <c r="F8" i="10"/>
  <c r="B8" i="10"/>
  <c r="A8" i="10"/>
  <c r="A5" i="10"/>
  <c r="A4" i="10"/>
  <c r="J53" i="10" l="1"/>
  <c r="J58" i="10"/>
  <c r="J57" i="10"/>
  <c r="J56" i="10"/>
  <c r="J55" i="10"/>
  <c r="J54" i="10"/>
  <c r="J52" i="10"/>
  <c r="C5" i="10"/>
  <c r="D5" i="10"/>
  <c r="E5" i="10"/>
  <c r="F5" i="10"/>
  <c r="B5" i="10"/>
  <c r="F4" i="10"/>
  <c r="D4" i="10"/>
  <c r="E4" i="10"/>
  <c r="B4" i="10"/>
  <c r="C4" i="10"/>
  <c r="AA8" i="10"/>
  <c r="AD7" i="10"/>
  <c r="S3" i="10"/>
  <c r="S5" i="10"/>
  <c r="S9" i="10"/>
  <c r="S8" i="10"/>
  <c r="S6" i="10"/>
  <c r="S10" i="10"/>
  <c r="S7" i="10"/>
  <c r="D7" i="10"/>
  <c r="S4" i="10"/>
  <c r="A1" i="10"/>
  <c r="K5" i="8"/>
  <c r="D4" i="8"/>
  <c r="S4" i="8" s="1"/>
  <c r="E4" i="8"/>
  <c r="F4" i="8"/>
  <c r="G4" i="8"/>
  <c r="N52" i="10" l="1"/>
  <c r="Q52" i="10" s="1"/>
  <c r="N56" i="10"/>
  <c r="Q56" i="10" s="1"/>
  <c r="N53" i="10"/>
  <c r="Q53" i="10" s="1"/>
  <c r="N54" i="10"/>
  <c r="Q54" i="10" s="1"/>
  <c r="N58" i="10"/>
  <c r="Q58" i="10" s="1"/>
  <c r="N55" i="10"/>
  <c r="Q55" i="10" s="1"/>
  <c r="N57" i="10"/>
  <c r="Q57" i="10" s="1"/>
  <c r="I4" i="8"/>
  <c r="K4" i="8"/>
  <c r="J4" i="8"/>
  <c r="J5" i="8"/>
  <c r="I5" i="8"/>
  <c r="AA9" i="10"/>
  <c r="AD8" i="10"/>
  <c r="T4" i="10"/>
  <c r="U4" i="10" s="1"/>
  <c r="A11" i="10" s="1"/>
  <c r="A64" i="10" s="1"/>
  <c r="T8" i="10"/>
  <c r="U8" i="10" s="1"/>
  <c r="T10" i="10"/>
  <c r="U10" i="10" s="1"/>
  <c r="T7" i="10"/>
  <c r="U7" i="10" s="1"/>
  <c r="T5" i="10"/>
  <c r="U5" i="10" s="1"/>
  <c r="T9" i="10"/>
  <c r="U9" i="10" s="1"/>
  <c r="T6" i="10"/>
  <c r="U6" i="10" s="1"/>
  <c r="T3" i="10"/>
  <c r="Q59" i="10" l="1"/>
  <c r="Q60" i="10" s="1"/>
  <c r="C11" i="10"/>
  <c r="B11" i="10"/>
  <c r="D11" i="10"/>
  <c r="E11" i="10"/>
  <c r="F11" i="10"/>
  <c r="AA10" i="10"/>
  <c r="AD9" i="10"/>
  <c r="U3" i="10"/>
  <c r="A10" i="10" s="1"/>
  <c r="A63" i="10" s="1"/>
  <c r="F7" i="5"/>
  <c r="F10" i="5" s="1"/>
  <c r="R56" i="10" l="1"/>
  <c r="R54" i="10"/>
  <c r="R57" i="10"/>
  <c r="R58" i="10"/>
  <c r="R53" i="10"/>
  <c r="R52" i="10"/>
  <c r="R55" i="10"/>
  <c r="F10" i="10"/>
  <c r="D10" i="10"/>
  <c r="E10" i="10"/>
  <c r="E12" i="10" s="1"/>
  <c r="E63" i="10" s="1"/>
  <c r="B10" i="10"/>
  <c r="C10" i="10"/>
  <c r="G14" i="3"/>
  <c r="H52" i="2"/>
  <c r="I52" i="2"/>
  <c r="J52" i="2"/>
  <c r="J32" i="2"/>
  <c r="I32" i="2"/>
  <c r="H32" i="2"/>
  <c r="K13" i="8"/>
  <c r="AA11" i="10"/>
  <c r="AD10" i="10"/>
  <c r="A7" i="10"/>
  <c r="K11" i="8"/>
  <c r="K12" i="8"/>
  <c r="G5" i="3"/>
  <c r="G7" i="8"/>
  <c r="K7" i="8" s="1"/>
  <c r="G4" i="3"/>
  <c r="B12" i="10" l="1"/>
  <c r="B64" i="10" s="1"/>
  <c r="C12" i="10"/>
  <c r="C64" i="10" s="1"/>
  <c r="D12" i="10"/>
  <c r="D64" i="10" s="1"/>
  <c r="E64" i="10"/>
  <c r="F12" i="10"/>
  <c r="F64" i="10" s="1"/>
  <c r="G6" i="3"/>
  <c r="J54" i="2"/>
  <c r="H54" i="2"/>
  <c r="I54" i="2"/>
  <c r="G8" i="3"/>
  <c r="I7" i="8"/>
  <c r="J7" i="8"/>
  <c r="I9" i="8"/>
  <c r="J12" i="8"/>
  <c r="I12" i="8"/>
  <c r="I11" i="8"/>
  <c r="J11" i="8"/>
  <c r="I13" i="8"/>
  <c r="J13" i="8"/>
  <c r="AA12" i="10"/>
  <c r="AD11" i="10"/>
  <c r="K14" i="8"/>
  <c r="D7" i="5"/>
  <c r="D10" i="5" s="1"/>
  <c r="E7" i="8" s="1"/>
  <c r="C10" i="5"/>
  <c r="D7" i="8" s="1"/>
  <c r="G7" i="3" l="1"/>
  <c r="G15" i="3"/>
  <c r="D63" i="10"/>
  <c r="C63" i="10"/>
  <c r="B63" i="10"/>
  <c r="F63" i="10"/>
  <c r="G19" i="3"/>
  <c r="G9" i="3"/>
  <c r="G16" i="3"/>
  <c r="I14" i="8"/>
  <c r="J14" i="8"/>
  <c r="AA13" i="10"/>
  <c r="AD13" i="10" s="1"/>
  <c r="AD12" i="10"/>
  <c r="E4" i="3"/>
  <c r="E5" i="3"/>
  <c r="E14" i="3"/>
  <c r="D4" i="3"/>
  <c r="D5" i="3"/>
  <c r="E7" i="5"/>
  <c r="E8" i="3" l="1"/>
  <c r="D8" i="3"/>
  <c r="AD26" i="10"/>
  <c r="AA14" i="10"/>
  <c r="F14" i="3"/>
  <c r="F4" i="3"/>
  <c r="E10" i="5"/>
  <c r="AA15" i="10" l="1"/>
  <c r="AD14" i="10"/>
  <c r="D6" i="3"/>
  <c r="D7" i="3" s="1"/>
  <c r="L50" i="2"/>
  <c r="L52" i="2"/>
  <c r="L48" i="2"/>
  <c r="L49" i="2"/>
  <c r="L51" i="2"/>
  <c r="L47" i="2"/>
  <c r="E6" i="3"/>
  <c r="E15" i="3" s="1"/>
  <c r="F6" i="3"/>
  <c r="F15" i="3" s="1"/>
  <c r="AD27" i="10"/>
  <c r="F7" i="8"/>
  <c r="F5" i="3"/>
  <c r="AA16" i="10" l="1"/>
  <c r="AA17" i="10" s="1"/>
  <c r="AA18" i="10" s="1"/>
  <c r="AA19" i="10" s="1"/>
  <c r="AA20" i="10" s="1"/>
  <c r="AA21" i="10" s="1"/>
  <c r="AA22" i="10" s="1"/>
  <c r="AA23" i="10" s="1"/>
  <c r="AA24" i="10" s="1"/>
  <c r="AA25" i="10" s="1"/>
  <c r="AA26" i="10" s="1"/>
  <c r="AA27" i="10" s="1"/>
  <c r="AA28" i="10" s="1"/>
  <c r="AA29" i="10" s="1"/>
  <c r="AA30" i="10" s="1"/>
  <c r="AA31" i="10" s="1"/>
  <c r="AA32" i="10" s="1"/>
  <c r="AA33" i="10" s="1"/>
  <c r="AA34" i="10" s="1"/>
  <c r="AA35" i="10" s="1"/>
  <c r="AA36" i="10" s="1"/>
  <c r="AD15" i="10"/>
  <c r="F19" i="3"/>
  <c r="F16" i="3"/>
  <c r="F9" i="3"/>
  <c r="E9" i="3"/>
  <c r="E16" i="3"/>
  <c r="E19" i="3"/>
  <c r="E7" i="3"/>
  <c r="D9" i="3"/>
  <c r="D19" i="3"/>
  <c r="F7" i="3"/>
  <c r="F8" i="3"/>
  <c r="AD28" i="10"/>
  <c r="G42" i="10"/>
  <c r="I11" i="10"/>
  <c r="AD30" i="10" l="1"/>
  <c r="D43" i="10"/>
  <c r="B43" i="10" s="1"/>
  <c r="E43" i="10"/>
  <c r="B44" i="10" l="1"/>
  <c r="B45" i="10" s="1"/>
  <c r="B46" i="10" s="1"/>
  <c r="C47" i="10" s="1"/>
  <c r="AE14" i="10"/>
  <c r="AE22" i="10"/>
  <c r="AE13" i="10"/>
  <c r="AE21" i="10"/>
  <c r="AE23" i="10"/>
  <c r="AE34" i="10"/>
  <c r="AE11" i="10"/>
  <c r="AF11" i="10" s="1"/>
  <c r="AE16" i="10"/>
  <c r="AE17" i="10"/>
  <c r="AE33" i="10"/>
  <c r="AE18" i="10"/>
  <c r="AE19" i="10"/>
  <c r="AE25" i="10"/>
  <c r="AE29" i="10"/>
  <c r="AE32" i="10"/>
  <c r="AE30" i="10"/>
  <c r="AE27" i="10"/>
  <c r="AE15" i="10"/>
  <c r="AE12" i="10"/>
  <c r="AE28" i="10"/>
  <c r="AE10" i="10"/>
  <c r="AF10" i="10" s="1"/>
  <c r="AE31" i="10"/>
  <c r="AE35" i="10"/>
  <c r="AE36" i="10"/>
  <c r="AE26" i="10"/>
  <c r="AE20" i="10"/>
  <c r="AE24" i="10"/>
  <c r="I10" i="10"/>
  <c r="G75" i="7"/>
  <c r="G77" i="7" s="1"/>
  <c r="AE3" i="10" l="1"/>
  <c r="AF3" i="10" s="1"/>
  <c r="AF30" i="10"/>
  <c r="AF29" i="10"/>
  <c r="AF25" i="10"/>
  <c r="AF13" i="10"/>
  <c r="AF15" i="10"/>
  <c r="AE9" i="10"/>
  <c r="AE7" i="10"/>
  <c r="AF27" i="10"/>
  <c r="AE5" i="10"/>
  <c r="AF24" i="10"/>
  <c r="AE4" i="10"/>
  <c r="AF12" i="10"/>
  <c r="AE6" i="10"/>
  <c r="AE8" i="10"/>
  <c r="AF28" i="10"/>
  <c r="AF31" i="10"/>
  <c r="AF26" i="10"/>
  <c r="AF6" i="10" l="1"/>
  <c r="A28" i="10" s="1"/>
  <c r="AF7" i="10"/>
  <c r="A29" i="10" s="1"/>
  <c r="AF8" i="10"/>
  <c r="A30" i="10" s="1"/>
  <c r="AF4" i="10"/>
  <c r="A17" i="10" s="1"/>
  <c r="AF9" i="10"/>
  <c r="A31" i="10" s="1"/>
  <c r="AF5" i="10"/>
  <c r="A27" i="10" s="1"/>
  <c r="A25" i="10"/>
  <c r="B25" i="10" s="1"/>
  <c r="A16" i="10"/>
  <c r="A19" i="10"/>
  <c r="A21" i="10" l="1"/>
  <c r="A22" i="10"/>
  <c r="E25" i="10"/>
  <c r="F25" i="10"/>
  <c r="D25" i="10"/>
  <c r="C27" i="10"/>
  <c r="D27" i="10"/>
  <c r="B27" i="10"/>
  <c r="E27" i="10"/>
  <c r="F27" i="10"/>
  <c r="E30" i="10"/>
  <c r="C30" i="10"/>
  <c r="B30" i="10"/>
  <c r="D30" i="10"/>
  <c r="F30" i="10"/>
  <c r="E29" i="10"/>
  <c r="D29" i="10"/>
  <c r="F29" i="10"/>
  <c r="C29" i="10"/>
  <c r="B29" i="10"/>
  <c r="D31" i="10"/>
  <c r="C31" i="10"/>
  <c r="E31" i="10"/>
  <c r="F31" i="10"/>
  <c r="B31" i="10"/>
  <c r="B28" i="10"/>
  <c r="C28" i="10"/>
  <c r="D28" i="10"/>
  <c r="E28" i="10"/>
  <c r="F28" i="10"/>
  <c r="A20" i="10"/>
  <c r="B20" i="10" s="1"/>
  <c r="A26" i="10"/>
  <c r="A18" i="10"/>
  <c r="C25" i="10"/>
  <c r="D16" i="10"/>
  <c r="B16" i="10"/>
  <c r="C16" i="10"/>
  <c r="E16" i="10"/>
  <c r="F16" i="10"/>
  <c r="D21" i="10"/>
  <c r="B21" i="10"/>
  <c r="E21" i="10"/>
  <c r="F21" i="10"/>
  <c r="C21" i="10"/>
  <c r="C22" i="10"/>
  <c r="F22" i="10"/>
  <c r="B22" i="10"/>
  <c r="D22" i="10"/>
  <c r="E22" i="10"/>
  <c r="E19" i="10"/>
  <c r="C19" i="10"/>
  <c r="F19" i="10"/>
  <c r="B19" i="10"/>
  <c r="D19" i="10"/>
  <c r="D17" i="10"/>
  <c r="E17" i="10"/>
  <c r="F17" i="10"/>
  <c r="B17" i="10"/>
  <c r="C17" i="10"/>
  <c r="E18" i="10"/>
  <c r="C18" i="10"/>
  <c r="F18" i="10"/>
  <c r="B18" i="10"/>
  <c r="D18" i="10"/>
  <c r="E20" i="10" l="1"/>
  <c r="F20" i="10"/>
  <c r="C20" i="10"/>
  <c r="D20" i="10"/>
  <c r="D26" i="10"/>
  <c r="F26" i="10"/>
  <c r="E26" i="10"/>
  <c r="B26" i="10"/>
  <c r="C26" i="10"/>
  <c r="I18" i="10"/>
  <c r="I21" i="10"/>
  <c r="I16" i="10"/>
  <c r="I17" i="10"/>
  <c r="I22" i="10"/>
  <c r="I19" i="10"/>
  <c r="I20" i="10" l="1"/>
  <c r="I28" i="10"/>
  <c r="J28" i="10" s="1"/>
  <c r="I30" i="10"/>
  <c r="J30" i="10" s="1"/>
  <c r="J16" i="10"/>
  <c r="J22" i="10"/>
  <c r="J17" i="10"/>
  <c r="J21" i="10"/>
  <c r="J20" i="10"/>
  <c r="J19" i="10"/>
  <c r="J18" i="10"/>
  <c r="I31" i="10"/>
  <c r="J31" i="10" s="1"/>
  <c r="I27" i="10"/>
  <c r="J27" i="10" s="1"/>
  <c r="I29" i="10"/>
  <c r="J29" i="10" s="1"/>
  <c r="I25" i="10"/>
  <c r="J25" i="10" s="1"/>
  <c r="I26" i="10"/>
  <c r="J26" i="10" s="1"/>
  <c r="N16" i="10" l="1"/>
  <c r="Q16" i="10" s="1"/>
  <c r="N17" i="10"/>
  <c r="Q17" i="10" s="1"/>
  <c r="N19" i="10"/>
  <c r="Q19" i="10" s="1"/>
  <c r="N18" i="10"/>
  <c r="Q18" i="10" s="1"/>
  <c r="N22" i="10"/>
  <c r="Q22" i="10" s="1"/>
  <c r="N21" i="10"/>
  <c r="Q21" i="10" s="1"/>
  <c r="N20" i="10"/>
  <c r="Q20" i="10" s="1"/>
  <c r="Q23" i="10" l="1"/>
  <c r="N23" i="10" s="1"/>
  <c r="R16" i="10" l="1"/>
  <c r="R21" i="10"/>
  <c r="R19" i="10"/>
  <c r="R22" i="10"/>
  <c r="R20" i="10"/>
  <c r="R17" i="10"/>
  <c r="R18" i="10"/>
</calcChain>
</file>

<file path=xl/sharedStrings.xml><?xml version="1.0" encoding="utf-8"?>
<sst xmlns="http://schemas.openxmlformats.org/spreadsheetml/2006/main" count="493" uniqueCount="310">
  <si>
    <t>Indicator</t>
  </si>
  <si>
    <t>Property, plant and equipment</t>
  </si>
  <si>
    <t>Investment property</t>
  </si>
  <si>
    <t>Total non-current assets</t>
  </si>
  <si>
    <t>Total current assets</t>
  </si>
  <si>
    <t>Total assets</t>
  </si>
  <si>
    <t>Issued capital</t>
  </si>
  <si>
    <t>Share premium</t>
  </si>
  <si>
    <t>Retained earnings</t>
  </si>
  <si>
    <t>Total Equity</t>
  </si>
  <si>
    <t>Borrowings LT</t>
  </si>
  <si>
    <t>Deferred tax liabilities</t>
  </si>
  <si>
    <t>Total non-current liabilities</t>
  </si>
  <si>
    <t>Borrowings ST</t>
  </si>
  <si>
    <t>Total current liabilities</t>
  </si>
  <si>
    <t>Total liabilities</t>
  </si>
  <si>
    <t>Total equity and liabilities</t>
  </si>
  <si>
    <t>Revenue</t>
  </si>
  <si>
    <t>Investment income</t>
  </si>
  <si>
    <t>Raw materials and consumables used</t>
  </si>
  <si>
    <t>Depreciation and amortisation expenses</t>
  </si>
  <si>
    <t>Finance costs</t>
  </si>
  <si>
    <t>Other expenses</t>
  </si>
  <si>
    <t>Profit (loss) before tax</t>
  </si>
  <si>
    <t>Income tax expense</t>
  </si>
  <si>
    <t>Total</t>
  </si>
  <si>
    <t>© ROMCARBON SA</t>
  </si>
  <si>
    <t>Revenue details</t>
  </si>
  <si>
    <t>EBITDA</t>
  </si>
  <si>
    <t>Formula</t>
  </si>
  <si>
    <t>EBIT</t>
  </si>
  <si>
    <t>Sales</t>
  </si>
  <si>
    <t>EBITDA to sales ratio</t>
  </si>
  <si>
    <t>EBITDA to Equity ratio</t>
  </si>
  <si>
    <t>Gross profit margin</t>
  </si>
  <si>
    <t>Current ratio</t>
  </si>
  <si>
    <t>Quick ratio</t>
  </si>
  <si>
    <t>Account receivable turnover ratio</t>
  </si>
  <si>
    <t>Account payable turnover ratio</t>
  </si>
  <si>
    <t>Return on assets (ROA)</t>
  </si>
  <si>
    <t>Return on equity (ROE)</t>
  </si>
  <si>
    <t>Return on sales (ROS)</t>
  </si>
  <si>
    <t>Non-current liabilities to Equity ratio</t>
  </si>
  <si>
    <t>Total liabilities to Assets ratio</t>
  </si>
  <si>
    <t>See EBIT-EBITDA</t>
  </si>
  <si>
    <t>EBITDA/Sales</t>
  </si>
  <si>
    <t>EBITDA/Equity</t>
  </si>
  <si>
    <t>Gross profit/Sales</t>
  </si>
  <si>
    <t>Current assets/Current liabilities</t>
  </si>
  <si>
    <t>(Current assets-Inventories)/Current liabilities</t>
  </si>
  <si>
    <t>Non-current liabilities/Equity</t>
  </si>
  <si>
    <t>Total liabilities/Total Assets</t>
  </si>
  <si>
    <t>EBIT/Interest expenses</t>
  </si>
  <si>
    <t>Average receivables/Sales</t>
  </si>
  <si>
    <t>Average payables/Sales</t>
  </si>
  <si>
    <t>Net profit/Assets</t>
  </si>
  <si>
    <t>Net profit/Equity</t>
  </si>
  <si>
    <t>Net profit/Sales</t>
  </si>
  <si>
    <t xml:space="preserve">Net profit </t>
  </si>
  <si>
    <t>Profit tax (+)</t>
  </si>
  <si>
    <t>Expenses with interests (+)</t>
  </si>
  <si>
    <t>Depreciation(+)</t>
  </si>
  <si>
    <t>Revenues from subsidies for investment (-)</t>
  </si>
  <si>
    <t>Items</t>
  </si>
  <si>
    <t>Movements in working capital</t>
  </si>
  <si>
    <t>(Increase) / Decrease in other assets</t>
  </si>
  <si>
    <t>Cash generated from operations</t>
  </si>
  <si>
    <t>Interest paid</t>
  </si>
  <si>
    <t>Net cash generated by operating activities</t>
  </si>
  <si>
    <t>Cash flows from investing activities</t>
  </si>
  <si>
    <t>Interest received</t>
  </si>
  <si>
    <t>Dividends received</t>
  </si>
  <si>
    <t>Payments for property, plant and equipment</t>
  </si>
  <si>
    <t>Payments for investment property</t>
  </si>
  <si>
    <t>Proceeds from disposal of property, plant and equipment</t>
  </si>
  <si>
    <t>Payments for intangible assets</t>
  </si>
  <si>
    <t>Net cash (used in)/generated by investing activities</t>
  </si>
  <si>
    <t>Cash flows from financing activities</t>
  </si>
  <si>
    <t>Proceeds from subsidies</t>
  </si>
  <si>
    <t>Net increase in cash and cash equivalents</t>
  </si>
  <si>
    <t>Cash and cash equivalents at the beginning of the year</t>
  </si>
  <si>
    <t>Effects of exchange rate changes on the balance of cash held in foreign currencies</t>
  </si>
  <si>
    <t>Cash and cash equivalents at the end of the year</t>
  </si>
  <si>
    <t>Weights in Revenue</t>
  </si>
  <si>
    <t>The source of the financial information is the company annual reports.</t>
  </si>
  <si>
    <t>Net profit</t>
  </si>
  <si>
    <t>Non-Current assets</t>
  </si>
  <si>
    <t>Current assets</t>
  </si>
  <si>
    <t>Total Liabilities</t>
  </si>
  <si>
    <t>Item</t>
  </si>
  <si>
    <t>Buzau, 132 Transilvaniei street</t>
  </si>
  <si>
    <t>Phone : +40(0)238 711 155</t>
  </si>
  <si>
    <t>Fax: +40(0)238 710 697</t>
  </si>
  <si>
    <t>investor.relations@romcarbon.com</t>
  </si>
  <si>
    <t>Postal code: 120012</t>
  </si>
  <si>
    <t>Interest coverage ratio</t>
  </si>
  <si>
    <t>Note: In EBIT and EBITDA are included also the non-repeating elements suchs as dividends, sales of assets, others.</t>
  </si>
  <si>
    <t>Liabilities</t>
  </si>
  <si>
    <t>Assets</t>
  </si>
  <si>
    <t>List1</t>
  </si>
  <si>
    <t>List2</t>
  </si>
  <si>
    <t>List3</t>
  </si>
  <si>
    <t>Non-current assets</t>
  </si>
  <si>
    <t>Non-current liabilities</t>
  </si>
  <si>
    <t>Current liabilities</t>
  </si>
  <si>
    <t>Equity</t>
  </si>
  <si>
    <t>Equity&amp;Liabilities</t>
  </si>
  <si>
    <t>Start</t>
  </si>
  <si>
    <t>Base</t>
  </si>
  <si>
    <t>End</t>
  </si>
  <si>
    <t>Down</t>
  </si>
  <si>
    <t>Up</t>
  </si>
  <si>
    <t>Net</t>
  </si>
  <si>
    <t>An</t>
  </si>
  <si>
    <t>Date</t>
  </si>
  <si>
    <t>Rank</t>
  </si>
  <si>
    <t>Pozitie</t>
  </si>
  <si>
    <t>Center</t>
  </si>
  <si>
    <t>Value</t>
  </si>
  <si>
    <t>%</t>
  </si>
  <si>
    <t>Revenue (Sales)</t>
  </si>
  <si>
    <t>www.romcarbon.com</t>
  </si>
  <si>
    <t>In this file all the amounts are expressed in lei thousand.</t>
  </si>
  <si>
    <t>Equity attributable to equity holders of the parent</t>
  </si>
  <si>
    <t>n/a</t>
  </si>
  <si>
    <t>Romcarbon SA</t>
  </si>
  <si>
    <t>LivingJumbo Industry SA</t>
  </si>
  <si>
    <t>RC Energo Install SRL</t>
  </si>
  <si>
    <t>Eco Pack Management SA</t>
  </si>
  <si>
    <t>Info Tech Solutions SRL</t>
  </si>
  <si>
    <t>Next Eco Reciclyng SA</t>
  </si>
  <si>
    <t>Project Advice SRL</t>
  </si>
  <si>
    <t xml:space="preserve"> - within the group</t>
  </si>
  <si>
    <t xml:space="preserve"> - outside the group</t>
  </si>
  <si>
    <t>Total revenues, from which:</t>
  </si>
  <si>
    <t>GREENWEEE INTERNATIONAL HUNGARY KFT</t>
  </si>
  <si>
    <t>GRINFILD LLC UCRAINA</t>
  </si>
  <si>
    <t>GRINRUH LLC UCRAINA</t>
  </si>
  <si>
    <t>GREENTECH SA</t>
  </si>
  <si>
    <t>GREENTECH RECYCLING DEUTSCHLAND GMBH</t>
  </si>
  <si>
    <t>GREENLAMP RECICLARE SA</t>
  </si>
  <si>
    <t>ROMCARBON DEUTSCHLAND GMBH</t>
  </si>
  <si>
    <t>PROJECT ADVICE SRL</t>
  </si>
  <si>
    <t>RECYPLAT LTD CIPRU</t>
  </si>
  <si>
    <t>RC ENERGO INSTALL SRL</t>
  </si>
  <si>
    <t xml:space="preserve">ECO PACK MANAGEMENT  SA </t>
  </si>
  <si>
    <t>INFOTECH SOLUTIONS SRL</t>
  </si>
  <si>
    <t>LIVINGJUMBO INDUSTRY SA</t>
  </si>
  <si>
    <t>ASOCIATIA ECOLOGICA GREENLIFE</t>
  </si>
  <si>
    <t>YENKI SRL</t>
  </si>
  <si>
    <t>KANG YANG BIOTECHNOLOGY CO.LTD</t>
  </si>
  <si>
    <t>REGISTRUL MIORITA SA</t>
  </si>
  <si>
    <t>ROMGREEN UNIVERSAL LTD CIPRU</t>
  </si>
  <si>
    <t>GREENWEEE INTERNATIONAL  SA</t>
  </si>
  <si>
    <t>GREENGLASS RECYCLING SA</t>
  </si>
  <si>
    <t>GREENFIBER INTERNATIONAL SA</t>
  </si>
  <si>
    <t>lei thousand</t>
  </si>
  <si>
    <t xml:space="preserve"> Owners of the parent company</t>
  </si>
  <si>
    <t xml:space="preserve">Non-controlling interests </t>
  </si>
  <si>
    <t xml:space="preserve"> Profit/loss of the period(from operations), attributable to:</t>
  </si>
  <si>
    <t xml:space="preserve"> Profit/loss of the period</t>
  </si>
  <si>
    <t xml:space="preserve"> Comprehensive profit/loss, attributable to:</t>
  </si>
  <si>
    <t>Exchange difference on translating foreign operations</t>
  </si>
  <si>
    <t>Difference from revaluation of land and buildings</t>
  </si>
  <si>
    <t>Company</t>
  </si>
  <si>
    <t>Sales of finished goods (701+709)</t>
  </si>
  <si>
    <t>Sales of intermediary goods</t>
  </si>
  <si>
    <t>Sales of residual products</t>
  </si>
  <si>
    <t>Services rendered</t>
  </si>
  <si>
    <t>Sales of goods purchased for resale</t>
  </si>
  <si>
    <t>Revenues from sundry services</t>
  </si>
  <si>
    <t>(Increase) / Decrease in trade and other receivables</t>
  </si>
  <si>
    <t>Income tax paid</t>
  </si>
  <si>
    <t xml:space="preserve">Gross profit / (loss) for the year </t>
  </si>
  <si>
    <t>Finance expenses recognized in profit</t>
  </si>
  <si>
    <t>(Gain) / Loss on sale or disposal of fixed assets</t>
  </si>
  <si>
    <t>(Gain) / Loss on sale or disposal of investment property</t>
  </si>
  <si>
    <t>Income from dividends</t>
  </si>
  <si>
    <t>Loss on impairment of stocks</t>
  </si>
  <si>
    <t>Loss on impairment of trade receivables</t>
  </si>
  <si>
    <t>Loss on time-barred receivables</t>
  </si>
  <si>
    <t>Loss on impairment of goodwill</t>
  </si>
  <si>
    <t>Loss on impairment of property, plant and equipment</t>
  </si>
  <si>
    <t>Amortization / Depreciation of non-current assets</t>
  </si>
  <si>
    <t xml:space="preserve">Net (gain) / loss on foreign exchange </t>
  </si>
  <si>
    <t>(Gain) / Loss on investment</t>
  </si>
  <si>
    <t>(Gain) / Loss on revaluation of investment property</t>
  </si>
  <si>
    <t>(Gain) / Loss on revaluation of assets held for sale</t>
  </si>
  <si>
    <t>(Gain) / Loss from short-term investments</t>
  </si>
  <si>
    <t>(Gain) / Loss on share of profit of associates</t>
  </si>
  <si>
    <t>Increase / Decrease in provisions</t>
  </si>
  <si>
    <t>Increases in subsidies</t>
  </si>
  <si>
    <t>(Increase) / Decrease  in inventories</t>
  </si>
  <si>
    <t>Increase / (Decrease) in trade and other payables</t>
  </si>
  <si>
    <t>Increase / (Decrease) in other payables</t>
  </si>
  <si>
    <t>Bank commissions paid</t>
  </si>
  <si>
    <t>Proceeds from investments in associates</t>
  </si>
  <si>
    <t>Acquisition of subsidiaries</t>
  </si>
  <si>
    <t>(Repayment) / Drawings of borrowings</t>
  </si>
  <si>
    <t>Lease payments</t>
  </si>
  <si>
    <t>Dividends paid for non-controlling interest</t>
  </si>
  <si>
    <t>GREEN RESOURCES MANAGEMENT S.A.</t>
  </si>
  <si>
    <t>TOTAL WASTE MANAGEMENT SRL</t>
  </si>
  <si>
    <t>Direct</t>
  </si>
  <si>
    <t>Indirect</t>
  </si>
  <si>
    <t>Direct and Indirect</t>
  </si>
  <si>
    <t>CYPRUS</t>
  </si>
  <si>
    <t>GERMANY</t>
  </si>
  <si>
    <t>ROMANIA</t>
  </si>
  <si>
    <t>UCRAINE</t>
  </si>
  <si>
    <t>TAIWAN</t>
  </si>
  <si>
    <t>HUNGARY</t>
  </si>
  <si>
    <t>SERBIA</t>
  </si>
  <si>
    <t>LITHUANIA</t>
  </si>
  <si>
    <t>Place of establishment</t>
  </si>
  <si>
    <t xml:space="preserve">GREENTECH BALTIC UAB </t>
  </si>
  <si>
    <t xml:space="preserve">GREENTECH DOO </t>
  </si>
  <si>
    <t>Business and other management consultancy activities</t>
  </si>
  <si>
    <t>Treatment and disposal of hazardous waste</t>
  </si>
  <si>
    <t>Other business support service activities n.e.c.</t>
  </si>
  <si>
    <t>Trade with plastic finished products, recycling of plastic materials and purchase of plastic waste</t>
  </si>
  <si>
    <t>Recovery of sorted materials</t>
  </si>
  <si>
    <t>Consultancy in IT technology</t>
  </si>
  <si>
    <t>Plumbing, heat and air conditioning installation</t>
  </si>
  <si>
    <t>Wholesale trade</t>
  </si>
  <si>
    <t>Recycling of non-metallic waste and scraps</t>
  </si>
  <si>
    <t>Manufacture of plastic packing goods</t>
  </si>
  <si>
    <t>Dismantling of wrecks for materials recovery</t>
  </si>
  <si>
    <t>Management of used waste and treatment of other waste</t>
  </si>
  <si>
    <t>Manufacture of man-made fibres</t>
  </si>
  <si>
    <t xml:space="preserve">GRINTEH MK DOO </t>
  </si>
  <si>
    <t>Commercial, economic, financial and industrial activity</t>
  </si>
  <si>
    <t>Collection of non-hazardous waste</t>
  </si>
  <si>
    <t>Type of business</t>
  </si>
  <si>
    <t xml:space="preserve">Recovery of sorted materials </t>
  </si>
  <si>
    <t xml:space="preserve">Operation of sports facilities </t>
  </si>
  <si>
    <t>Manufacture of products beneficial for human health</t>
  </si>
  <si>
    <t>Shareholders’ Registry's activity</t>
  </si>
  <si>
    <t>Non-profit organization</t>
  </si>
  <si>
    <t>Global</t>
  </si>
  <si>
    <t xml:space="preserve">Equity method </t>
  </si>
  <si>
    <t>Outside the consolidation area</t>
  </si>
  <si>
    <t>Consolidation method</t>
  </si>
  <si>
    <t>Proceeds from sale of investment property</t>
  </si>
  <si>
    <t>Net cash (used in)/generated  in financing activities</t>
  </si>
  <si>
    <t>Rental revenues</t>
  </si>
  <si>
    <t>Revenue + Rental revenues</t>
  </si>
  <si>
    <t>Total revenues</t>
  </si>
  <si>
    <t>Select the  item---&gt;&gt;&gt;</t>
  </si>
  <si>
    <t>Select the 1st comparison item--&gt;&gt;&gt;</t>
  </si>
  <si>
    <t>Select the 2nd comparison item-&gt;&gt;&gt;</t>
  </si>
  <si>
    <t>Select the year-&gt;&gt;&gt;</t>
  </si>
  <si>
    <t>Select the item---&gt;&gt;&gt;</t>
  </si>
  <si>
    <t>Select the year---&gt;&gt;&gt;</t>
  </si>
  <si>
    <t>Type of holding</t>
  </si>
  <si>
    <t>Note: The rental revenues are included in "Investment income"</t>
  </si>
  <si>
    <t>NORTH MACEDONIA</t>
  </si>
  <si>
    <r>
      <rPr>
        <b/>
        <u/>
        <sz val="11"/>
        <rFont val="Candara"/>
        <family val="2"/>
      </rPr>
      <t>Note:</t>
    </r>
    <r>
      <rPr>
        <b/>
        <sz val="11"/>
        <rFont val="Candara"/>
        <family val="2"/>
      </rPr>
      <t xml:space="preserve"> </t>
    </r>
    <r>
      <rPr>
        <i/>
        <sz val="11"/>
        <rFont val="Candara"/>
        <family val="2"/>
      </rPr>
      <t>This file has been prepared for information purpose.</t>
    </r>
    <r>
      <rPr>
        <b/>
        <sz val="11"/>
        <rFont val="Candara"/>
        <family val="2"/>
      </rPr>
      <t xml:space="preserve">
</t>
    </r>
  </si>
  <si>
    <t xml:space="preserve">Revenue details </t>
  </si>
  <si>
    <t>(Gain) / Loss on sale or disposal of assets hold for sales</t>
  </si>
  <si>
    <t>Income from interests</t>
  </si>
  <si>
    <t>(Gain) / Loss on revaluation of fixed assets</t>
  </si>
  <si>
    <t>Proceeds from disposal of non-current assets held for sales</t>
  </si>
  <si>
    <t>-</t>
  </si>
  <si>
    <t>Other current financial assets</t>
  </si>
  <si>
    <t>Debt ratio</t>
  </si>
  <si>
    <t>Current liquidity</t>
  </si>
  <si>
    <t>Goodwill</t>
  </si>
  <si>
    <t>Intangible assets other than goodwill</t>
  </si>
  <si>
    <t>Investments accounted for using equity method</t>
  </si>
  <si>
    <t>Investments in subsidiaries, joint ventures and associates</t>
  </si>
  <si>
    <t>Other non-current financial assets</t>
  </si>
  <si>
    <t>In total  [2020]</t>
  </si>
  <si>
    <t>Current inventories</t>
  </si>
  <si>
    <t>Trade and other current receivables</t>
  </si>
  <si>
    <t>Other current non-financial assets</t>
  </si>
  <si>
    <t>Cash and cash equivalents</t>
  </si>
  <si>
    <t>Non-current assets or disposal groups classified as held for sale or as held for distribution to owners</t>
  </si>
  <si>
    <t>Other reserves</t>
  </si>
  <si>
    <t>Non-controlling interests</t>
  </si>
  <si>
    <t>Other non-current provisions</t>
  </si>
  <si>
    <t>Other non-current financial liabilities</t>
  </si>
  <si>
    <t>Other non-current non-financial liabilities</t>
  </si>
  <si>
    <t>Trade and other current payables</t>
  </si>
  <si>
    <t>Other current financial liabilities</t>
  </si>
  <si>
    <t>Other current non-financial liabilities</t>
  </si>
  <si>
    <t>Other Income</t>
  </si>
  <si>
    <t>Increase (decrease) in inventories of finished goods and work in progress</t>
  </si>
  <si>
    <t>Employee benefits expense</t>
  </si>
  <si>
    <t>Other gains (losses)</t>
  </si>
  <si>
    <t>Profit (loss) from operating activities</t>
  </si>
  <si>
    <t>Finance Income</t>
  </si>
  <si>
    <t>Share of profit (loss) of associates and joint ventures accounted for using equity method</t>
  </si>
  <si>
    <t>Other financial liabilities</t>
  </si>
  <si>
    <t>EBITDA Operational</t>
  </si>
  <si>
    <t xml:space="preserve">Share of profit (loss) of associates </t>
  </si>
  <si>
    <t>From 2020 Indirect</t>
  </si>
  <si>
    <r>
      <t xml:space="preserve">Note: </t>
    </r>
    <r>
      <rPr>
        <b/>
        <u/>
        <sz val="11"/>
        <color theme="1"/>
        <rFont val="Candara"/>
        <family val="2"/>
      </rPr>
      <t>EBITDA</t>
    </r>
    <r>
      <rPr>
        <sz val="11"/>
        <color theme="1"/>
        <rFont val="Candara"/>
        <family val="2"/>
      </rPr>
      <t xml:space="preserve"> is calculated starting with the net profit and includes also the non-repeating elements suchs as dividends, sales of assets, others.</t>
    </r>
  </si>
  <si>
    <r>
      <rPr>
        <b/>
        <u/>
        <sz val="11"/>
        <color theme="1"/>
        <rFont val="Candara"/>
        <family val="2"/>
      </rPr>
      <t>EBITDA operational</t>
    </r>
    <r>
      <rPr>
        <sz val="11"/>
        <color theme="1"/>
        <rFont val="Candara"/>
        <family val="2"/>
      </rPr>
      <t xml:space="preserve"> is calculated only for operational activity, excluding the depreciation, sales of non-current assests, non-repeating elements and financial activity.</t>
    </r>
  </si>
  <si>
    <t>Select the year &gt;&gt;&gt;</t>
  </si>
  <si>
    <t>ELTEX RECYCLING SRL</t>
  </si>
  <si>
    <t>GREENTECH SLOVAKIA S.R.O.(EKOLUMI S.R.O)</t>
  </si>
  <si>
    <t>Indirect.In 2021 changed its name in Greentech Slovakia SRO</t>
  </si>
  <si>
    <t xml:space="preserve">Collection of non-hazardous waste </t>
  </si>
  <si>
    <t xml:space="preserve">Treatment and disposal of non-hazardous waste </t>
  </si>
  <si>
    <t xml:space="preserve">Other business support service activities n.e.c. </t>
  </si>
  <si>
    <t>Indirect. In 2019 merged with Greenweee</t>
  </si>
  <si>
    <t>Net profit without the impact of the Share of profit (loss) of associates [GREEN-GROUP]</t>
  </si>
  <si>
    <t>CONSOLIDATED ANNUAL FINANCIAL DATA  (IFRS - EU)</t>
  </si>
  <si>
    <t>Sales (turnover)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</si>
</sst>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_);_(* \(#,##0\);_(* &quot;-&quot;_);_(@_)"/>
    <numFmt numFmtId="165" formatCode="_-* #,##0\ _l_e_i_-;\-* #,##0\ _l_e_i_-;_-* &quot;-&quot;??\ _l_e_i_-;_-@_-"/>
    <numFmt numFmtId="166" formatCode="_(* #,##0.00_);_(* \(#,##0.00\);_(* &quot;-&quot;_);_(@_)"/>
    <numFmt numFmtId="167" formatCode="_-* #,##0_-;\-* #,##0_-;_-* &quot;-&quot;??_-;_-@_-"/>
    <numFmt numFmtId="168" formatCode="_-* #,##0.00\ _l_e_i_-;\-* #,##0.00\ _l_e_i_-;_-* &quot;-&quot;??\ _l_e_i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ndara"/>
      <family val="2"/>
    </font>
    <font>
      <sz val="11"/>
      <color theme="1"/>
      <name val="Candara"/>
      <family val="2"/>
    </font>
    <font>
      <sz val="11"/>
      <color theme="1"/>
      <name val="Candar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ndara"/>
      <family val="2"/>
    </font>
    <font>
      <b/>
      <sz val="10.5"/>
      <name val="Candara"/>
      <family val="2"/>
    </font>
    <font>
      <sz val="10.5"/>
      <name val="Candara"/>
      <family val="2"/>
    </font>
    <font>
      <sz val="11"/>
      <name val="Candara"/>
      <family val="2"/>
    </font>
    <font>
      <b/>
      <sz val="11"/>
      <name val="Candara"/>
      <family val="2"/>
    </font>
    <font>
      <i/>
      <sz val="11"/>
      <name val="Candara"/>
      <family val="2"/>
    </font>
    <font>
      <sz val="11"/>
      <color theme="3" tint="-0.499984740745262"/>
      <name val="Candara"/>
      <family val="2"/>
    </font>
    <font>
      <b/>
      <i/>
      <sz val="11"/>
      <name val="Candara"/>
      <family val="2"/>
    </font>
    <font>
      <i/>
      <sz val="11"/>
      <color theme="1"/>
      <name val="Candara"/>
      <family val="2"/>
    </font>
    <font>
      <i/>
      <sz val="11"/>
      <color theme="0"/>
      <name val="Candara"/>
      <family val="2"/>
    </font>
    <font>
      <u/>
      <sz val="11"/>
      <color theme="10"/>
      <name val="Calibri"/>
      <family val="2"/>
      <scheme val="minor"/>
    </font>
    <font>
      <sz val="8"/>
      <color indexed="8"/>
      <name val="Trebuchet MS"/>
      <family val="2"/>
    </font>
    <font>
      <b/>
      <sz val="18"/>
      <color theme="1"/>
      <name val="Candara"/>
      <family val="2"/>
    </font>
    <font>
      <b/>
      <sz val="11"/>
      <color theme="1"/>
      <name val="Candara"/>
      <family val="2"/>
    </font>
    <font>
      <sz val="11"/>
      <color theme="1"/>
      <name val="Calibri"/>
      <family val="2"/>
    </font>
    <font>
      <b/>
      <sz val="13.5"/>
      <color theme="1"/>
      <name val="Garamond"/>
      <family val="1"/>
    </font>
    <font>
      <sz val="14"/>
      <color theme="3" tint="-0.499984740745262"/>
      <name val="Candara"/>
      <family val="2"/>
    </font>
    <font>
      <u/>
      <sz val="14"/>
      <color theme="3" tint="-0.499984740745262"/>
      <name val="Candara"/>
      <family val="2"/>
    </font>
    <font>
      <b/>
      <i/>
      <sz val="11"/>
      <color theme="1"/>
      <name val="Candara"/>
      <family val="2"/>
    </font>
    <font>
      <b/>
      <u/>
      <sz val="11"/>
      <name val="Candara"/>
      <family val="2"/>
    </font>
    <font>
      <sz val="11"/>
      <name val="Calibri"/>
      <family val="2"/>
      <scheme val="minor"/>
    </font>
    <font>
      <i/>
      <sz val="10.5"/>
      <name val="Candara"/>
      <family val="2"/>
    </font>
    <font>
      <sz val="11"/>
      <color rgb="FFC00000"/>
      <name val="Candara"/>
      <family val="2"/>
    </font>
    <font>
      <b/>
      <sz val="16"/>
      <color theme="1"/>
      <name val="Candara"/>
      <family val="2"/>
    </font>
    <font>
      <b/>
      <sz val="12"/>
      <color theme="1"/>
      <name val="Candara"/>
      <family val="2"/>
    </font>
    <font>
      <sz val="10.5"/>
      <color theme="1"/>
      <name val="Candara"/>
      <family val="2"/>
    </font>
    <font>
      <i/>
      <sz val="10.5"/>
      <color theme="1"/>
      <name val="Candara"/>
      <family val="2"/>
    </font>
    <font>
      <i/>
      <sz val="11"/>
      <color theme="9" tint="-0.499984740745262"/>
      <name val="Candara"/>
      <family val="2"/>
    </font>
    <font>
      <b/>
      <sz val="11"/>
      <color rgb="FF000000"/>
      <name val="Candara"/>
      <family val="2"/>
    </font>
    <font>
      <sz val="11"/>
      <color rgb="FF000000"/>
      <name val="Candara"/>
      <family val="2"/>
    </font>
    <font>
      <sz val="12"/>
      <name val="Candara"/>
      <family val="2"/>
    </font>
    <font>
      <i/>
      <sz val="12"/>
      <color theme="9" tint="-0.499984740745262"/>
      <name val="Candara"/>
      <family val="2"/>
    </font>
    <font>
      <sz val="12"/>
      <color theme="1"/>
      <name val="Candara"/>
      <family val="2"/>
    </font>
    <font>
      <b/>
      <sz val="12"/>
      <name val="Candara"/>
      <family val="2"/>
    </font>
    <font>
      <i/>
      <sz val="12"/>
      <name val="Candara"/>
      <family val="2"/>
    </font>
    <font>
      <b/>
      <sz val="12"/>
      <color theme="3" tint="-0.499984740745262"/>
      <name val="Candara"/>
      <family val="2"/>
    </font>
    <font>
      <sz val="12"/>
      <color theme="3" tint="-0.499984740745262"/>
      <name val="Candara"/>
      <family val="2"/>
    </font>
    <font>
      <b/>
      <i/>
      <sz val="12"/>
      <name val="Candara"/>
      <family val="2"/>
    </font>
    <font>
      <i/>
      <sz val="12"/>
      <color theme="1"/>
      <name val="Candara"/>
      <family val="2"/>
    </font>
    <font>
      <i/>
      <u/>
      <sz val="11"/>
      <name val="Candara"/>
      <family val="2"/>
    </font>
    <font>
      <b/>
      <u/>
      <sz val="11"/>
      <color theme="1"/>
      <name val="Candara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3E1E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1DFDF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Dashed">
        <color theme="2" tint="-0.749961851863155"/>
      </top>
      <bottom style="mediumDashed">
        <color theme="2" tint="-0.749961851863155"/>
      </bottom>
      <diagonal/>
    </border>
    <border>
      <left style="mediumDashed">
        <color theme="2" tint="-0.749961851863155"/>
      </left>
      <right/>
      <top style="mediumDashed">
        <color theme="2" tint="-0.749961851863155"/>
      </top>
      <bottom style="mediumDashed">
        <color theme="2" tint="-0.749961851863155"/>
      </bottom>
      <diagonal/>
    </border>
    <border>
      <left/>
      <right style="mediumDashed">
        <color theme="2" tint="-0.749961851863155"/>
      </right>
      <top style="mediumDashed">
        <color theme="2" tint="-0.749961851863155"/>
      </top>
      <bottom style="mediumDashed">
        <color theme="2" tint="-0.749961851863155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16" fillId="0" borderId="0" applyNumberFormat="0" applyFill="0" applyBorder="0" applyAlignment="0" applyProtection="0"/>
    <xf numFmtId="0" fontId="17" fillId="5" borderId="3" applyNumberFormat="0" applyBorder="0" applyProtection="0">
      <alignment vertical="center"/>
    </xf>
  </cellStyleXfs>
  <cellXfs count="246">
    <xf numFmtId="0" fontId="0" fillId="0" borderId="0" xfId="0"/>
    <xf numFmtId="0" fontId="6" fillId="0" borderId="0" xfId="0" applyFont="1"/>
    <xf numFmtId="164" fontId="10" fillId="2" borderId="1" xfId="3" applyNumberFormat="1" applyFont="1" applyFill="1" applyBorder="1" applyAlignment="1">
      <alignment vertical="center"/>
    </xf>
    <xf numFmtId="164" fontId="9" fillId="2" borderId="0" xfId="3" applyNumberFormat="1" applyFont="1" applyFill="1" applyAlignment="1">
      <alignment wrapText="1"/>
    </xf>
    <xf numFmtId="164" fontId="9" fillId="2" borderId="0" xfId="3" applyNumberFormat="1" applyFont="1" applyFill="1" applyAlignment="1">
      <alignment vertical="center"/>
    </xf>
    <xf numFmtId="3" fontId="11" fillId="2" borderId="0" xfId="0" applyNumberFormat="1" applyFont="1" applyFill="1"/>
    <xf numFmtId="0" fontId="9" fillId="0" borderId="0" xfId="0" applyFont="1"/>
    <xf numFmtId="0" fontId="14" fillId="0" borderId="0" xfId="0" applyFont="1"/>
    <xf numFmtId="3" fontId="15" fillId="4" borderId="0" xfId="0" applyNumberFormat="1" applyFont="1" applyFill="1"/>
    <xf numFmtId="0" fontId="6" fillId="2" borderId="0" xfId="0" applyFont="1" applyFill="1"/>
    <xf numFmtId="3" fontId="6" fillId="2" borderId="0" xfId="0" applyNumberFormat="1" applyFont="1" applyFill="1"/>
    <xf numFmtId="3" fontId="19" fillId="2" borderId="1" xfId="0" applyNumberFormat="1" applyFont="1" applyFill="1" applyBorder="1"/>
    <xf numFmtId="0" fontId="19" fillId="2" borderId="1" xfId="0" applyFont="1" applyFill="1" applyBorder="1" applyAlignment="1">
      <alignment vertical="top"/>
    </xf>
    <xf numFmtId="0" fontId="6" fillId="2" borderId="0" xfId="0" applyFont="1" applyFill="1" applyAlignment="1">
      <alignment vertical="top"/>
    </xf>
    <xf numFmtId="0" fontId="24" fillId="2" borderId="1" xfId="0" applyFont="1" applyFill="1" applyBorder="1"/>
    <xf numFmtId="0" fontId="6" fillId="2" borderId="0" xfId="0" applyFont="1" applyFill="1" applyAlignment="1">
      <alignment wrapText="1"/>
    </xf>
    <xf numFmtId="10" fontId="9" fillId="2" borderId="0" xfId="2" applyNumberFormat="1" applyFont="1" applyFill="1" applyAlignment="1">
      <alignment horizontal="right" wrapText="1"/>
    </xf>
    <xf numFmtId="166" fontId="9" fillId="2" borderId="0" xfId="3" applyNumberFormat="1" applyFont="1" applyFill="1" applyAlignment="1">
      <alignment horizontal="right" wrapText="1"/>
    </xf>
    <xf numFmtId="9" fontId="9" fillId="2" borderId="0" xfId="2" applyFont="1" applyFill="1" applyAlignment="1">
      <alignment horizontal="right" wrapText="1"/>
    </xf>
    <xf numFmtId="0" fontId="3" fillId="0" borderId="0" xfId="0" applyFont="1"/>
    <xf numFmtId="0" fontId="3" fillId="6" borderId="0" xfId="0" applyFont="1" applyFill="1"/>
    <xf numFmtId="0" fontId="3" fillId="8" borderId="0" xfId="0" applyFont="1" applyFill="1"/>
    <xf numFmtId="0" fontId="3" fillId="7" borderId="0" xfId="0" applyFont="1" applyFill="1" applyAlignment="1"/>
    <xf numFmtId="0" fontId="3" fillId="0" borderId="0" xfId="0" applyFont="1" applyAlignment="1">
      <alignment horizontal="center"/>
    </xf>
    <xf numFmtId="167" fontId="3" fillId="0" borderId="0" xfId="1" applyNumberFormat="1" applyFont="1"/>
    <xf numFmtId="167" fontId="3" fillId="0" borderId="0" xfId="0" applyNumberFormat="1" applyFont="1" applyAlignment="1">
      <alignment horizontal="center"/>
    </xf>
    <xf numFmtId="165" fontId="2" fillId="2" borderId="0" xfId="1" applyNumberFormat="1" applyFont="1" applyFill="1"/>
    <xf numFmtId="0" fontId="28" fillId="0" borderId="0" xfId="0" applyFont="1"/>
    <xf numFmtId="0" fontId="1" fillId="0" borderId="0" xfId="0" applyFont="1"/>
    <xf numFmtId="0" fontId="1" fillId="6" borderId="0" xfId="0" applyFont="1" applyFill="1"/>
    <xf numFmtId="167" fontId="3" fillId="0" borderId="0" xfId="0" applyNumberFormat="1" applyFont="1"/>
    <xf numFmtId="0" fontId="1" fillId="8" borderId="0" xfId="0" applyFont="1" applyFill="1" applyAlignment="1">
      <alignment horizontal="left"/>
    </xf>
    <xf numFmtId="43" fontId="3" fillId="0" borderId="0" xfId="1" applyFont="1"/>
    <xf numFmtId="167" fontId="1" fillId="8" borderId="0" xfId="0" applyNumberFormat="1" applyFont="1" applyFill="1" applyAlignment="1">
      <alignment horizontal="left"/>
    </xf>
    <xf numFmtId="0" fontId="3" fillId="8" borderId="0" xfId="0" applyFont="1" applyFill="1" applyAlignment="1">
      <alignment horizontal="center"/>
    </xf>
    <xf numFmtId="167" fontId="3" fillId="8" borderId="0" xfId="0" applyNumberFormat="1" applyFont="1" applyFill="1"/>
    <xf numFmtId="9" fontId="3" fillId="0" borderId="0" xfId="2" applyFont="1"/>
    <xf numFmtId="167" fontId="1" fillId="0" borderId="0" xfId="1" applyNumberFormat="1" applyFont="1"/>
    <xf numFmtId="167" fontId="1" fillId="0" borderId="0" xfId="0" applyNumberFormat="1" applyFont="1"/>
    <xf numFmtId="167" fontId="9" fillId="0" borderId="0" xfId="1" applyNumberFormat="1" applyFont="1"/>
    <xf numFmtId="9" fontId="9" fillId="0" borderId="0" xfId="2" applyFont="1"/>
    <xf numFmtId="0" fontId="1" fillId="2" borderId="0" xfId="0" applyFont="1" applyFill="1"/>
    <xf numFmtId="3" fontId="9" fillId="2" borderId="0" xfId="3" applyNumberFormat="1" applyFont="1" applyFill="1" applyAlignment="1">
      <alignment horizontal="right" wrapText="1"/>
    </xf>
    <xf numFmtId="0" fontId="1" fillId="9" borderId="0" xfId="0" applyFont="1" applyFill="1" applyBorder="1"/>
    <xf numFmtId="0" fontId="6" fillId="9" borderId="0" xfId="0" applyFont="1" applyFill="1"/>
    <xf numFmtId="165" fontId="33" fillId="9" borderId="0" xfId="1" applyNumberFormat="1" applyFont="1" applyFill="1"/>
    <xf numFmtId="0" fontId="33" fillId="9" borderId="0" xfId="0" applyFont="1" applyFill="1"/>
    <xf numFmtId="0" fontId="6" fillId="9" borderId="0" xfId="0" applyFont="1" applyFill="1" applyAlignment="1">
      <alignment vertical="center"/>
    </xf>
    <xf numFmtId="164" fontId="9" fillId="9" borderId="0" xfId="3" applyNumberFormat="1" applyFont="1" applyFill="1" applyAlignment="1">
      <alignment vertical="center"/>
    </xf>
    <xf numFmtId="164" fontId="10" fillId="9" borderId="0" xfId="3" applyNumberFormat="1" applyFont="1" applyFill="1" applyAlignment="1">
      <alignment vertical="center"/>
    </xf>
    <xf numFmtId="164" fontId="9" fillId="9" borderId="0" xfId="3" applyNumberFormat="1" applyFont="1" applyFill="1" applyAlignment="1">
      <alignment wrapText="1"/>
    </xf>
    <xf numFmtId="3" fontId="9" fillId="9" borderId="0" xfId="0" applyNumberFormat="1" applyFont="1" applyFill="1"/>
    <xf numFmtId="9" fontId="9" fillId="9" borderId="0" xfId="2" applyFont="1" applyFill="1"/>
    <xf numFmtId="9" fontId="9" fillId="9" borderId="0" xfId="2" applyFont="1" applyFill="1" applyAlignment="1">
      <alignment horizontal="center" vertical="center"/>
    </xf>
    <xf numFmtId="0" fontId="14" fillId="9" borderId="0" xfId="0" applyFont="1" applyFill="1"/>
    <xf numFmtId="43" fontId="6" fillId="2" borderId="0" xfId="1" applyFont="1" applyFill="1"/>
    <xf numFmtId="168" fontId="6" fillId="2" borderId="0" xfId="0" applyNumberFormat="1" applyFont="1" applyFill="1"/>
    <xf numFmtId="0" fontId="10" fillId="10" borderId="1" xfId="0" applyFont="1" applyFill="1" applyBorder="1" applyAlignment="1">
      <alignment vertical="top"/>
    </xf>
    <xf numFmtId="0" fontId="10" fillId="10" borderId="1" xfId="0" applyFont="1" applyFill="1" applyBorder="1" applyAlignment="1">
      <alignment horizontal="center"/>
    </xf>
    <xf numFmtId="3" fontId="10" fillId="6" borderId="1" xfId="0" applyNumberFormat="1" applyFont="1" applyFill="1" applyBorder="1"/>
    <xf numFmtId="164" fontId="9" fillId="6" borderId="0" xfId="3" applyNumberFormat="1" applyFont="1" applyFill="1" applyAlignment="1">
      <alignment vertical="center"/>
    </xf>
    <xf numFmtId="0" fontId="9" fillId="6" borderId="0" xfId="0" applyFont="1" applyFill="1"/>
    <xf numFmtId="0" fontId="19" fillId="11" borderId="4" xfId="0" applyFont="1" applyFill="1" applyBorder="1"/>
    <xf numFmtId="164" fontId="10" fillId="6" borderId="1" xfId="3" applyNumberFormat="1" applyFont="1" applyFill="1" applyBorder="1" applyAlignment="1">
      <alignment vertical="center"/>
    </xf>
    <xf numFmtId="0" fontId="20" fillId="11" borderId="0" xfId="0" applyFont="1" applyFill="1" applyAlignment="1">
      <alignment vertical="center"/>
    </xf>
    <xf numFmtId="0" fontId="0" fillId="11" borderId="0" xfId="0" applyFill="1"/>
    <xf numFmtId="0" fontId="21" fillId="11" borderId="0" xfId="0" applyFont="1" applyFill="1" applyAlignment="1">
      <alignment horizontal="justify" vertical="center"/>
    </xf>
    <xf numFmtId="0" fontId="22" fillId="11" borderId="0" xfId="0" applyFont="1" applyFill="1"/>
    <xf numFmtId="0" fontId="12" fillId="11" borderId="0" xfId="0" applyFont="1" applyFill="1"/>
    <xf numFmtId="0" fontId="6" fillId="11" borderId="0" xfId="0" applyFont="1" applyFill="1"/>
    <xf numFmtId="0" fontId="23" fillId="11" borderId="0" xfId="5" applyFont="1" applyFill="1" applyAlignment="1"/>
    <xf numFmtId="0" fontId="0" fillId="10" borderId="0" xfId="0" applyFill="1"/>
    <xf numFmtId="0" fontId="9" fillId="10" borderId="0" xfId="0" applyFont="1" applyFill="1" applyAlignment="1">
      <alignment horizontal="left" vertical="top" wrapText="1"/>
    </xf>
    <xf numFmtId="0" fontId="9" fillId="10" borderId="0" xfId="0" applyFont="1" applyFill="1" applyAlignment="1">
      <alignment vertical="top" wrapText="1"/>
    </xf>
    <xf numFmtId="0" fontId="10" fillId="10" borderId="0" xfId="0" applyFont="1" applyFill="1" applyAlignment="1">
      <alignment vertical="top" wrapText="1"/>
    </xf>
    <xf numFmtId="0" fontId="27" fillId="10" borderId="0" xfId="0" applyFont="1" applyFill="1"/>
    <xf numFmtId="0" fontId="26" fillId="10" borderId="0" xfId="0" applyFont="1" applyFill="1"/>
    <xf numFmtId="164" fontId="36" fillId="2" borderId="0" xfId="4" applyNumberFormat="1" applyFont="1" applyFill="1" applyAlignment="1">
      <alignment vertical="center"/>
    </xf>
    <xf numFmtId="0" fontId="36" fillId="2" borderId="0" xfId="0" applyFont="1" applyFill="1"/>
    <xf numFmtId="165" fontId="37" fillId="2" borderId="0" xfId="1" applyNumberFormat="1" applyFont="1" applyFill="1"/>
    <xf numFmtId="0" fontId="37" fillId="2" borderId="0" xfId="0" applyFont="1" applyFill="1"/>
    <xf numFmtId="0" fontId="38" fillId="0" borderId="0" xfId="0" applyFont="1"/>
    <xf numFmtId="0" fontId="38" fillId="0" borderId="0" xfId="0" applyFont="1" applyAlignment="1">
      <alignment vertical="center"/>
    </xf>
    <xf numFmtId="164" fontId="36" fillId="2" borderId="0" xfId="3" applyNumberFormat="1" applyFont="1" applyFill="1" applyAlignment="1">
      <alignment wrapText="1"/>
    </xf>
    <xf numFmtId="3" fontId="36" fillId="2" borderId="0" xfId="0" applyNumberFormat="1" applyFont="1" applyFill="1"/>
    <xf numFmtId="9" fontId="36" fillId="2" borderId="0" xfId="2" applyFont="1" applyFill="1"/>
    <xf numFmtId="164" fontId="36" fillId="2" borderId="0" xfId="3" applyNumberFormat="1" applyFont="1" applyFill="1" applyAlignment="1">
      <alignment vertical="center"/>
    </xf>
    <xf numFmtId="164" fontId="36" fillId="2" borderId="0" xfId="3" applyNumberFormat="1" applyFont="1" applyFill="1" applyAlignment="1">
      <alignment vertical="center" wrapText="1"/>
    </xf>
    <xf numFmtId="164" fontId="39" fillId="2" borderId="1" xfId="3" applyNumberFormat="1" applyFont="1" applyFill="1" applyBorder="1" applyAlignment="1">
      <alignment vertical="center"/>
    </xf>
    <xf numFmtId="3" fontId="39" fillId="2" borderId="1" xfId="0" applyNumberFormat="1" applyFont="1" applyFill="1" applyBorder="1"/>
    <xf numFmtId="9" fontId="39" fillId="2" borderId="1" xfId="2" applyFont="1" applyFill="1" applyBorder="1"/>
    <xf numFmtId="0" fontId="30" fillId="0" borderId="0" xfId="0" applyFont="1"/>
    <xf numFmtId="164" fontId="36" fillId="2" borderId="1" xfId="3" applyNumberFormat="1" applyFont="1" applyFill="1" applyBorder="1" applyAlignment="1">
      <alignment vertical="center"/>
    </xf>
    <xf numFmtId="3" fontId="36" fillId="2" borderId="1" xfId="0" applyNumberFormat="1" applyFont="1" applyFill="1" applyBorder="1"/>
    <xf numFmtId="9" fontId="36" fillId="2" borderId="1" xfId="2" applyFont="1" applyFill="1" applyBorder="1"/>
    <xf numFmtId="164" fontId="36" fillId="2" borderId="0" xfId="3" applyNumberFormat="1" applyFont="1" applyFill="1" applyBorder="1" applyAlignment="1">
      <alignment vertical="center"/>
    </xf>
    <xf numFmtId="9" fontId="36" fillId="2" borderId="0" xfId="2" applyFont="1" applyFill="1" applyAlignment="1">
      <alignment horizontal="right"/>
    </xf>
    <xf numFmtId="164" fontId="38" fillId="0" borderId="0" xfId="0" applyNumberFormat="1" applyFont="1"/>
    <xf numFmtId="0" fontId="36" fillId="0" borderId="0" xfId="0" applyFont="1"/>
    <xf numFmtId="3" fontId="40" fillId="2" borderId="0" xfId="0" applyNumberFormat="1" applyFont="1" applyFill="1"/>
    <xf numFmtId="9" fontId="40" fillId="2" borderId="0" xfId="2" applyNumberFormat="1" applyFont="1" applyFill="1"/>
    <xf numFmtId="164" fontId="41" fillId="2" borderId="1" xfId="3" applyNumberFormat="1" applyFont="1" applyFill="1" applyBorder="1" applyAlignment="1">
      <alignment vertical="center"/>
    </xf>
    <xf numFmtId="3" fontId="41" fillId="2" borderId="1" xfId="0" applyNumberFormat="1" applyFont="1" applyFill="1" applyBorder="1" applyAlignment="1">
      <alignment vertical="center"/>
    </xf>
    <xf numFmtId="3" fontId="39" fillId="2" borderId="1" xfId="0" applyNumberFormat="1" applyFont="1" applyFill="1" applyBorder="1" applyAlignment="1">
      <alignment vertical="center"/>
    </xf>
    <xf numFmtId="164" fontId="39" fillId="2" borderId="1" xfId="3" applyNumberFormat="1" applyFont="1" applyFill="1" applyBorder="1" applyAlignment="1">
      <alignment vertical="center" wrapText="1"/>
    </xf>
    <xf numFmtId="9" fontId="39" fillId="2" borderId="1" xfId="2" applyFont="1" applyFill="1" applyBorder="1" applyAlignment="1">
      <alignment vertical="center"/>
    </xf>
    <xf numFmtId="0" fontId="41" fillId="0" borderId="0" xfId="0" applyFont="1" applyAlignment="1">
      <alignment vertical="center"/>
    </xf>
    <xf numFmtId="9" fontId="41" fillId="2" borderId="1" xfId="2" applyNumberFormat="1" applyFont="1" applyFill="1" applyBorder="1" applyAlignment="1">
      <alignment vertical="center"/>
    </xf>
    <xf numFmtId="0" fontId="42" fillId="0" borderId="0" xfId="0" applyFont="1"/>
    <xf numFmtId="3" fontId="42" fillId="2" borderId="0" xfId="0" applyNumberFormat="1" applyFont="1" applyFill="1"/>
    <xf numFmtId="9" fontId="42" fillId="2" borderId="0" xfId="2" applyNumberFormat="1" applyFont="1" applyFill="1"/>
    <xf numFmtId="0" fontId="41" fillId="0" borderId="0" xfId="0" applyFont="1"/>
    <xf numFmtId="3" fontId="41" fillId="2" borderId="0" xfId="0" applyNumberFormat="1" applyFont="1" applyFill="1"/>
    <xf numFmtId="3" fontId="39" fillId="2" borderId="0" xfId="0" applyNumberFormat="1" applyFont="1" applyFill="1"/>
    <xf numFmtId="164" fontId="39" fillId="2" borderId="0" xfId="3" applyNumberFormat="1" applyFont="1" applyFill="1" applyAlignment="1">
      <alignment wrapText="1"/>
    </xf>
    <xf numFmtId="9" fontId="39" fillId="2" borderId="0" xfId="2" applyFont="1" applyFill="1"/>
    <xf numFmtId="9" fontId="41" fillId="2" borderId="4" xfId="2" applyNumberFormat="1" applyFont="1" applyFill="1" applyBorder="1"/>
    <xf numFmtId="164" fontId="41" fillId="2" borderId="2" xfId="3" applyNumberFormat="1" applyFont="1" applyFill="1" applyBorder="1" applyAlignment="1">
      <alignment vertical="center"/>
    </xf>
    <xf numFmtId="3" fontId="41" fillId="2" borderId="2" xfId="0" applyNumberFormat="1" applyFont="1" applyFill="1" applyBorder="1"/>
    <xf numFmtId="3" fontId="39" fillId="2" borderId="2" xfId="0" applyNumberFormat="1" applyFont="1" applyFill="1" applyBorder="1"/>
    <xf numFmtId="165" fontId="41" fillId="2" borderId="2" xfId="1" applyNumberFormat="1" applyFont="1" applyFill="1" applyBorder="1" applyAlignment="1">
      <alignment horizontal="right"/>
    </xf>
    <xf numFmtId="9" fontId="42" fillId="2" borderId="2" xfId="2" applyFont="1" applyFill="1" applyBorder="1"/>
    <xf numFmtId="168" fontId="38" fillId="0" borderId="0" xfId="0" applyNumberFormat="1" applyFont="1"/>
    <xf numFmtId="0" fontId="38" fillId="3" borderId="0" xfId="0" applyFont="1" applyFill="1" applyAlignment="1">
      <alignment vertical="center"/>
    </xf>
    <xf numFmtId="164" fontId="40" fillId="2" borderId="0" xfId="3" applyNumberFormat="1" applyFont="1" applyFill="1" applyAlignment="1">
      <alignment vertical="center"/>
    </xf>
    <xf numFmtId="164" fontId="43" fillId="2" borderId="1" xfId="3" applyNumberFormat="1" applyFont="1" applyFill="1" applyBorder="1" applyAlignment="1">
      <alignment vertical="center"/>
    </xf>
    <xf numFmtId="164" fontId="43" fillId="2" borderId="0" xfId="3" applyNumberFormat="1" applyFont="1" applyFill="1" applyBorder="1" applyAlignment="1">
      <alignment vertical="center"/>
    </xf>
    <xf numFmtId="3" fontId="40" fillId="2" borderId="0" xfId="0" applyNumberFormat="1" applyFont="1" applyFill="1" applyBorder="1"/>
    <xf numFmtId="9" fontId="40" fillId="2" borderId="0" xfId="2" applyFont="1" applyFill="1"/>
    <xf numFmtId="9" fontId="41" fillId="2" borderId="0" xfId="2" applyNumberFormat="1" applyFont="1" applyFill="1" applyBorder="1" applyAlignment="1">
      <alignment vertical="center"/>
    </xf>
    <xf numFmtId="0" fontId="44" fillId="0" borderId="0" xfId="0" applyFont="1"/>
    <xf numFmtId="0" fontId="11" fillId="10" borderId="0" xfId="0" applyFont="1" applyFill="1"/>
    <xf numFmtId="0" fontId="1" fillId="9" borderId="0" xfId="0" applyFont="1" applyFill="1"/>
    <xf numFmtId="0" fontId="1" fillId="9" borderId="0" xfId="0" applyFont="1" applyFill="1" applyAlignment="1">
      <alignment wrapText="1"/>
    </xf>
    <xf numFmtId="0" fontId="27" fillId="10" borderId="0" xfId="0" applyFont="1" applyFill="1" applyAlignment="1">
      <alignment horizontal="left" vertical="top" wrapText="1"/>
    </xf>
    <xf numFmtId="164" fontId="7" fillId="10" borderId="1" xfId="3" applyNumberFormat="1" applyFont="1" applyFill="1" applyBorder="1" applyAlignment="1">
      <alignment vertical="center" wrapText="1"/>
    </xf>
    <xf numFmtId="0" fontId="7" fillId="10" borderId="1" xfId="0" applyFont="1" applyFill="1" applyBorder="1" applyAlignment="1">
      <alignment horizontal="center" vertical="center" wrapText="1"/>
    </xf>
    <xf numFmtId="10" fontId="7" fillId="10" borderId="1" xfId="2" applyNumberFormat="1" applyFont="1" applyFill="1" applyBorder="1" applyAlignment="1">
      <alignment horizontal="center" vertical="center" wrapText="1"/>
    </xf>
    <xf numFmtId="10" fontId="8" fillId="11" borderId="0" xfId="2" applyNumberFormat="1" applyFont="1" applyFill="1"/>
    <xf numFmtId="10" fontId="7" fillId="11" borderId="1" xfId="2" applyNumberFormat="1" applyFont="1" applyFill="1" applyBorder="1"/>
    <xf numFmtId="164" fontId="39" fillId="10" borderId="1" xfId="3" applyNumberFormat="1" applyFont="1" applyFill="1" applyBorder="1" applyAlignment="1">
      <alignment vertical="center"/>
    </xf>
    <xf numFmtId="0" fontId="39" fillId="10" borderId="1" xfId="0" applyFont="1" applyFill="1" applyBorder="1" applyAlignment="1">
      <alignment horizontal="center" vertical="center"/>
    </xf>
    <xf numFmtId="164" fontId="36" fillId="11" borderId="0" xfId="3" applyNumberFormat="1" applyFont="1" applyFill="1" applyAlignment="1">
      <alignment wrapText="1"/>
    </xf>
    <xf numFmtId="164" fontId="36" fillId="11" borderId="0" xfId="3" applyNumberFormat="1" applyFont="1" applyFill="1" applyAlignment="1">
      <alignment vertical="center"/>
    </xf>
    <xf numFmtId="164" fontId="39" fillId="11" borderId="1" xfId="3" applyNumberFormat="1" applyFont="1" applyFill="1" applyBorder="1" applyAlignment="1">
      <alignment vertical="center"/>
    </xf>
    <xf numFmtId="164" fontId="36" fillId="11" borderId="1" xfId="3" applyNumberFormat="1" applyFont="1" applyFill="1" applyBorder="1" applyAlignment="1">
      <alignment vertical="center"/>
    </xf>
    <xf numFmtId="0" fontId="30" fillId="12" borderId="0" xfId="0" applyFont="1" applyFill="1"/>
    <xf numFmtId="0" fontId="30" fillId="6" borderId="0" xfId="0" applyFont="1" applyFill="1"/>
    <xf numFmtId="9" fontId="40" fillId="11" borderId="0" xfId="2" applyNumberFormat="1" applyFont="1" applyFill="1"/>
    <xf numFmtId="9" fontId="39" fillId="11" borderId="1" xfId="2" applyNumberFormat="1" applyFont="1" applyFill="1" applyBorder="1" applyAlignment="1">
      <alignment vertical="center"/>
    </xf>
    <xf numFmtId="9" fontId="39" fillId="11" borderId="4" xfId="2" applyNumberFormat="1" applyFont="1" applyFill="1" applyBorder="1"/>
    <xf numFmtId="164" fontId="10" fillId="11" borderId="1" xfId="3" applyNumberFormat="1" applyFont="1" applyFill="1" applyBorder="1" applyAlignment="1">
      <alignment vertical="center"/>
    </xf>
    <xf numFmtId="0" fontId="10" fillId="11" borderId="1" xfId="0" applyFont="1" applyFill="1" applyBorder="1" applyAlignment="1">
      <alignment horizontal="center" vertical="center"/>
    </xf>
    <xf numFmtId="164" fontId="9" fillId="11" borderId="0" xfId="3" applyNumberFormat="1" applyFont="1" applyFill="1" applyAlignment="1">
      <alignment vertical="center"/>
    </xf>
    <xf numFmtId="164" fontId="10" fillId="11" borderId="0" xfId="3" applyNumberFormat="1" applyFont="1" applyFill="1" applyAlignment="1">
      <alignment vertical="center"/>
    </xf>
    <xf numFmtId="164" fontId="9" fillId="11" borderId="0" xfId="3" applyNumberFormat="1" applyFont="1" applyFill="1" applyAlignment="1">
      <alignment wrapText="1"/>
    </xf>
    <xf numFmtId="10" fontId="9" fillId="11" borderId="0" xfId="2" applyNumberFormat="1" applyFont="1" applyFill="1" applyAlignment="1">
      <alignment horizontal="right" wrapText="1"/>
    </xf>
    <xf numFmtId="166" fontId="9" fillId="11" borderId="0" xfId="3" applyNumberFormat="1" applyFont="1" applyFill="1" applyAlignment="1">
      <alignment horizontal="right" wrapText="1"/>
    </xf>
    <xf numFmtId="9" fontId="9" fillId="11" borderId="0" xfId="2" applyFont="1" applyFill="1" applyAlignment="1">
      <alignment horizontal="right" wrapText="1"/>
    </xf>
    <xf numFmtId="3" fontId="9" fillId="11" borderId="0" xfId="3" applyNumberFormat="1" applyFont="1" applyFill="1" applyAlignment="1">
      <alignment horizontal="right" wrapText="1"/>
    </xf>
    <xf numFmtId="0" fontId="19" fillId="11" borderId="0" xfId="0" applyFont="1" applyFill="1"/>
    <xf numFmtId="0" fontId="3" fillId="13" borderId="0" xfId="0" applyFont="1" applyFill="1"/>
    <xf numFmtId="0" fontId="19" fillId="13" borderId="0" xfId="0" applyFont="1" applyFill="1"/>
    <xf numFmtId="0" fontId="30" fillId="13" borderId="0" xfId="0" applyFont="1" applyFill="1"/>
    <xf numFmtId="0" fontId="31" fillId="13" borderId="0" xfId="0" applyFont="1" applyFill="1"/>
    <xf numFmtId="165" fontId="33" fillId="13" borderId="0" xfId="1" applyNumberFormat="1" applyFont="1" applyFill="1"/>
    <xf numFmtId="0" fontId="33" fillId="13" borderId="0" xfId="0" applyFont="1" applyFill="1"/>
    <xf numFmtId="164" fontId="8" fillId="13" borderId="0" xfId="3" applyNumberFormat="1" applyFont="1" applyFill="1" applyAlignment="1">
      <alignment vertical="center"/>
    </xf>
    <xf numFmtId="3" fontId="8" fillId="13" borderId="0" xfId="0" applyNumberFormat="1" applyFont="1" applyFill="1"/>
    <xf numFmtId="10" fontId="8" fillId="13" borderId="0" xfId="2" applyNumberFormat="1" applyFont="1" applyFill="1"/>
    <xf numFmtId="164" fontId="7" fillId="13" borderId="1" xfId="3" applyNumberFormat="1" applyFont="1" applyFill="1" applyBorder="1" applyAlignment="1">
      <alignment vertical="center"/>
    </xf>
    <xf numFmtId="3" fontId="7" fillId="13" borderId="1" xfId="0" applyNumberFormat="1" applyFont="1" applyFill="1" applyBorder="1"/>
    <xf numFmtId="10" fontId="7" fillId="13" borderId="1" xfId="2" applyNumberFormat="1" applyFont="1" applyFill="1" applyBorder="1"/>
    <xf numFmtId="164" fontId="8" fillId="13" borderId="0" xfId="3" applyNumberFormat="1" applyFont="1" applyFill="1" applyAlignment="1">
      <alignment vertical="center" wrapText="1"/>
    </xf>
    <xf numFmtId="3" fontId="8" fillId="13" borderId="0" xfId="0" applyNumberFormat="1" applyFont="1" applyFill="1" applyAlignment="1">
      <alignment vertical="center"/>
    </xf>
    <xf numFmtId="164" fontId="8" fillId="13" borderId="0" xfId="3" applyNumberFormat="1" applyFont="1" applyFill="1" applyAlignment="1">
      <alignment horizontal="left" vertical="center" wrapText="1"/>
    </xf>
    <xf numFmtId="0" fontId="32" fillId="13" borderId="0" xfId="0" applyFont="1" applyFill="1"/>
    <xf numFmtId="3" fontId="31" fillId="13" borderId="0" xfId="0" applyNumberFormat="1" applyFont="1" applyFill="1"/>
    <xf numFmtId="9" fontId="31" fillId="13" borderId="0" xfId="2" applyFont="1" applyFill="1"/>
    <xf numFmtId="43" fontId="6" fillId="0" borderId="0" xfId="1" applyFont="1"/>
    <xf numFmtId="10" fontId="6" fillId="0" borderId="0" xfId="2" applyNumberFormat="1" applyFont="1"/>
    <xf numFmtId="168" fontId="6" fillId="0" borderId="0" xfId="0" applyNumberFormat="1" applyFont="1"/>
    <xf numFmtId="10" fontId="38" fillId="0" borderId="0" xfId="2" applyNumberFormat="1" applyFont="1"/>
    <xf numFmtId="0" fontId="19" fillId="10" borderId="0" xfId="0" applyFont="1" applyFill="1" applyBorder="1" applyAlignment="1">
      <alignment horizontal="center"/>
    </xf>
    <xf numFmtId="0" fontId="34" fillId="10" borderId="5" xfId="0" applyFont="1" applyFill="1" applyBorder="1" applyAlignment="1">
      <alignment horizontal="center" vertical="center" wrapText="1"/>
    </xf>
    <xf numFmtId="0" fontId="34" fillId="14" borderId="0" xfId="0" applyFont="1" applyFill="1" applyBorder="1" applyAlignment="1">
      <alignment horizontal="center" vertical="center" wrapText="1"/>
    </xf>
    <xf numFmtId="0" fontId="34" fillId="14" borderId="8" xfId="0" applyFont="1" applyFill="1" applyBorder="1" applyAlignment="1">
      <alignment horizontal="center" vertical="center" wrapText="1"/>
    </xf>
    <xf numFmtId="0" fontId="35" fillId="11" borderId="0" xfId="0" applyFont="1" applyFill="1" applyBorder="1" applyAlignment="1">
      <alignment horizontal="left" vertical="center" wrapText="1"/>
    </xf>
    <xf numFmtId="0" fontId="1" fillId="11" borderId="0" xfId="0" applyFont="1" applyFill="1" applyBorder="1" applyAlignment="1">
      <alignment horizontal="left" vertical="center" wrapText="1"/>
    </xf>
    <xf numFmtId="0" fontId="1" fillId="11" borderId="9" xfId="0" applyFont="1" applyFill="1" applyBorder="1" applyAlignment="1">
      <alignment wrapText="1"/>
    </xf>
    <xf numFmtId="0" fontId="1" fillId="11" borderId="0" xfId="0" applyFont="1" applyFill="1" applyBorder="1" applyAlignment="1">
      <alignment wrapText="1"/>
    </xf>
    <xf numFmtId="0" fontId="35" fillId="11" borderId="8" xfId="0" applyFont="1" applyFill="1" applyBorder="1" applyAlignment="1">
      <alignment horizontal="left" vertical="center" wrapText="1"/>
    </xf>
    <xf numFmtId="0" fontId="1" fillId="11" borderId="8" xfId="0" applyFont="1" applyFill="1" applyBorder="1" applyAlignment="1">
      <alignment horizontal="left" vertical="center" wrapText="1"/>
    </xf>
    <xf numFmtId="0" fontId="1" fillId="11" borderId="6" xfId="0" applyFont="1" applyFill="1" applyBorder="1" applyAlignment="1">
      <alignment wrapText="1"/>
    </xf>
    <xf numFmtId="0" fontId="1" fillId="11" borderId="8" xfId="0" applyFont="1" applyFill="1" applyBorder="1" applyAlignment="1">
      <alignment wrapText="1"/>
    </xf>
    <xf numFmtId="10" fontId="35" fillId="11" borderId="8" xfId="0" applyNumberFormat="1" applyFont="1" applyFill="1" applyBorder="1" applyAlignment="1">
      <alignment horizontal="left" vertical="center" wrapText="1"/>
    </xf>
    <xf numFmtId="0" fontId="35" fillId="6" borderId="8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wrapText="1"/>
    </xf>
    <xf numFmtId="0" fontId="1" fillId="6" borderId="8" xfId="0" applyFont="1" applyFill="1" applyBorder="1" applyAlignment="1">
      <alignment wrapText="1"/>
    </xf>
    <xf numFmtId="10" fontId="35" fillId="6" borderId="0" xfId="0" applyNumberFormat="1" applyFont="1" applyFill="1" applyBorder="1" applyAlignment="1">
      <alignment horizontal="right" vertical="center" wrapText="1"/>
    </xf>
    <xf numFmtId="0" fontId="1" fillId="6" borderId="9" xfId="0" applyFont="1" applyFill="1" applyBorder="1" applyAlignment="1">
      <alignment horizontal="right" wrapText="1"/>
    </xf>
    <xf numFmtId="0" fontId="1" fillId="6" borderId="0" xfId="0" applyFont="1" applyFill="1" applyBorder="1" applyAlignment="1">
      <alignment wrapText="1"/>
    </xf>
    <xf numFmtId="0" fontId="35" fillId="6" borderId="0" xfId="0" applyFont="1" applyFill="1" applyBorder="1" applyAlignment="1">
      <alignment horizontal="left" vertical="center" wrapText="1"/>
    </xf>
    <xf numFmtId="0" fontId="1" fillId="6" borderId="9" xfId="0" applyFont="1" applyFill="1" applyBorder="1" applyAlignment="1">
      <alignment wrapText="1"/>
    </xf>
    <xf numFmtId="9" fontId="43" fillId="11" borderId="0" xfId="2" applyNumberFormat="1" applyFont="1" applyFill="1"/>
    <xf numFmtId="9" fontId="39" fillId="11" borderId="0" xfId="2" applyNumberFormat="1" applyFont="1" applyFill="1"/>
    <xf numFmtId="164" fontId="10" fillId="11" borderId="10" xfId="3" applyNumberFormat="1" applyFont="1" applyFill="1" applyBorder="1" applyAlignment="1">
      <alignment horizontal="center" vertical="center"/>
    </xf>
    <xf numFmtId="0" fontId="10" fillId="11" borderId="10" xfId="0" applyFont="1" applyFill="1" applyBorder="1" applyAlignment="1">
      <alignment horizontal="center" vertical="center"/>
    </xf>
    <xf numFmtId="164" fontId="9" fillId="11" borderId="11" xfId="3" applyNumberFormat="1" applyFont="1" applyFill="1" applyBorder="1" applyAlignment="1">
      <alignment vertical="center"/>
    </xf>
    <xf numFmtId="9" fontId="9" fillId="11" borderId="0" xfId="2" applyFont="1" applyFill="1" applyAlignment="1">
      <alignment horizontal="center" vertical="center"/>
    </xf>
    <xf numFmtId="164" fontId="9" fillId="15" borderId="11" xfId="3" applyNumberFormat="1" applyFont="1" applyFill="1" applyBorder="1" applyAlignment="1">
      <alignment vertical="center"/>
    </xf>
    <xf numFmtId="3" fontId="9" fillId="15" borderId="11" xfId="0" applyNumberFormat="1" applyFont="1" applyFill="1" applyBorder="1"/>
    <xf numFmtId="164" fontId="9" fillId="15" borderId="11" xfId="3" applyNumberFormat="1" applyFont="1" applyFill="1" applyBorder="1" applyAlignment="1">
      <alignment wrapText="1"/>
    </xf>
    <xf numFmtId="9" fontId="9" fillId="15" borderId="13" xfId="2" applyFont="1" applyFill="1" applyBorder="1"/>
    <xf numFmtId="0" fontId="45" fillId="10" borderId="0" xfId="0" applyFont="1" applyFill="1" applyAlignment="1">
      <alignment horizontal="left" vertical="top" wrapText="1"/>
    </xf>
    <xf numFmtId="0" fontId="11" fillId="10" borderId="0" xfId="0" applyFont="1" applyFill="1" applyAlignment="1">
      <alignment horizontal="left" vertical="top" wrapText="1"/>
    </xf>
    <xf numFmtId="0" fontId="29" fillId="10" borderId="0" xfId="0" applyFont="1" applyFill="1" applyAlignment="1">
      <alignment horizontal="left"/>
    </xf>
    <xf numFmtId="0" fontId="18" fillId="10" borderId="0" xfId="0" applyFont="1" applyFill="1" applyAlignment="1">
      <alignment horizontal="left"/>
    </xf>
    <xf numFmtId="0" fontId="27" fillId="10" borderId="0" xfId="0" applyFont="1" applyFill="1" applyAlignment="1">
      <alignment horizontal="left" vertical="top" wrapText="1"/>
    </xf>
    <xf numFmtId="0" fontId="9" fillId="10" borderId="0" xfId="0" applyFont="1" applyFill="1" applyAlignment="1">
      <alignment horizontal="left" vertical="top" wrapText="1"/>
    </xf>
    <xf numFmtId="0" fontId="10" fillId="10" borderId="0" xfId="0" applyFont="1" applyFill="1" applyAlignment="1">
      <alignment horizontal="left" vertical="top" wrapText="1"/>
    </xf>
    <xf numFmtId="0" fontId="13" fillId="10" borderId="0" xfId="0" applyFont="1" applyFill="1" applyAlignment="1">
      <alignment horizontal="left" vertical="top" wrapText="1"/>
    </xf>
    <xf numFmtId="0" fontId="10" fillId="11" borderId="10" xfId="0" applyFont="1" applyFill="1" applyBorder="1" applyAlignment="1">
      <alignment horizontal="center" vertical="center"/>
    </xf>
    <xf numFmtId="0" fontId="1" fillId="11" borderId="0" xfId="0" applyFont="1" applyFill="1" applyAlignment="1">
      <alignment horizontal="left" wrapText="1"/>
    </xf>
    <xf numFmtId="0" fontId="34" fillId="10" borderId="0" xfId="0" applyFont="1" applyFill="1" applyBorder="1" applyAlignment="1">
      <alignment horizontal="center" vertical="center" wrapText="1"/>
    </xf>
    <xf numFmtId="0" fontId="34" fillId="10" borderId="5" xfId="0" applyFont="1" applyFill="1" applyBorder="1" applyAlignment="1">
      <alignment horizontal="center" vertical="center" wrapText="1"/>
    </xf>
    <xf numFmtId="0" fontId="34" fillId="10" borderId="8" xfId="0" applyFont="1" applyFill="1" applyBorder="1" applyAlignment="1">
      <alignment horizontal="center" vertical="center" wrapText="1"/>
    </xf>
    <xf numFmtId="0" fontId="34" fillId="10" borderId="7" xfId="0" applyFont="1" applyFill="1" applyBorder="1" applyAlignment="1">
      <alignment horizontal="center" vertical="center" wrapText="1"/>
    </xf>
    <xf numFmtId="0" fontId="19" fillId="10" borderId="0" xfId="0" applyFont="1" applyFill="1" applyBorder="1" applyAlignment="1">
      <alignment horizontal="center"/>
    </xf>
    <xf numFmtId="0" fontId="34" fillId="10" borderId="6" xfId="0" applyFont="1" applyFill="1" applyBorder="1" applyAlignment="1">
      <alignment horizontal="center" vertical="center" wrapText="1"/>
    </xf>
    <xf numFmtId="10" fontId="7" fillId="10" borderId="1" xfId="2" applyNumberFormat="1" applyFont="1" applyFill="1" applyBorder="1" applyAlignment="1">
      <alignment horizontal="center" vertical="center" wrapText="1"/>
    </xf>
    <xf numFmtId="0" fontId="39" fillId="10" borderId="1" xfId="0" applyFont="1" applyFill="1" applyBorder="1" applyAlignment="1">
      <alignment horizontal="center" vertical="center"/>
    </xf>
    <xf numFmtId="0" fontId="30" fillId="11" borderId="0" xfId="0" applyFont="1" applyFill="1" applyAlignment="1">
      <alignment horizontal="left"/>
    </xf>
    <xf numFmtId="0" fontId="19" fillId="10" borderId="0" xfId="0" applyFont="1" applyFill="1" applyAlignment="1">
      <alignment horizontal="left"/>
    </xf>
    <xf numFmtId="0" fontId="19" fillId="11" borderId="0" xfId="0" applyFont="1" applyFill="1" applyAlignment="1">
      <alignment horizontal="left"/>
    </xf>
    <xf numFmtId="0" fontId="30" fillId="10" borderId="0" xfId="0" applyFont="1" applyFill="1" applyAlignment="1">
      <alignment horizontal="left"/>
    </xf>
    <xf numFmtId="0" fontId="19" fillId="15" borderId="12" xfId="0" applyFont="1" applyFill="1" applyBorder="1" applyAlignment="1">
      <alignment vertical="center" wrapText="1"/>
    </xf>
    <xf numFmtId="164" fontId="9" fillId="15" borderId="11" xfId="3" applyNumberFormat="1" applyFont="1" applyFill="1" applyBorder="1" applyAlignment="1">
      <alignment vertical="center" wrapText="1"/>
    </xf>
    <xf numFmtId="164" fontId="9" fillId="11" borderId="11" xfId="3" applyNumberFormat="1" applyFont="1" applyFill="1" applyBorder="1" applyAlignment="1">
      <alignment vertical="center" wrapText="1"/>
    </xf>
    <xf numFmtId="3" fontId="9" fillId="15" borderId="11" xfId="0" applyNumberFormat="1" applyFont="1" applyFill="1" applyBorder="1" applyAlignment="1">
      <alignment vertical="center" wrapText="1"/>
    </xf>
    <xf numFmtId="9" fontId="9" fillId="15" borderId="13" xfId="2" applyFont="1" applyFill="1" applyBorder="1" applyAlignment="1">
      <alignment vertical="center" wrapText="1"/>
    </xf>
    <xf numFmtId="0" fontId="19" fillId="9" borderId="0" xfId="0" applyFont="1" applyFill="1"/>
    <xf numFmtId="9" fontId="1" fillId="9" borderId="0" xfId="2" applyFont="1" applyFill="1"/>
    <xf numFmtId="0" fontId="19" fillId="15" borderId="12" xfId="0" applyFont="1" applyFill="1" applyBorder="1"/>
    <xf numFmtId="164" fontId="1" fillId="9" borderId="0" xfId="0" applyNumberFormat="1" applyFont="1" applyFill="1"/>
  </cellXfs>
  <cellStyles count="7">
    <cellStyle name="Comma" xfId="1" builtinId="3"/>
    <cellStyle name="Gen_Black" xfId="6" xr:uid="{00000000-0005-0000-0000-000001000000}"/>
    <cellStyle name="Hyperlink" xfId="5" builtinId="8"/>
    <cellStyle name="Normal" xfId="0" builtinId="0"/>
    <cellStyle name="Normal_FSWS CONSO TERAPLAST IFRS FINAL" xfId="3" xr:uid="{00000000-0005-0000-0000-000004000000}"/>
    <cellStyle name="Normal_SHEET" xfId="4" xr:uid="{00000000-0005-0000-0000-000005000000}"/>
    <cellStyle name="Percent" xfId="2" builtinId="5"/>
  </cellStyles>
  <dxfs count="95"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</dxfs>
  <tableStyles count="0" defaultTableStyle="TableStyleMedium2" defaultPivotStyle="PivotStyleLight16"/>
  <colors>
    <mruColors>
      <color rgb="FFE3E1E1"/>
      <color rgb="FF627998"/>
      <color rgb="FFEAEDF2"/>
      <color rgb="FFECF5E7"/>
      <color rgb="FFC3DEB0"/>
      <color rgb="FFE92823"/>
      <color rgb="FFFF3B0D"/>
      <color rgb="FFFF6D4B"/>
      <color rgb="FF8BC167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GB" sz="1100">
                <a:solidFill>
                  <a:schemeClr val="bg1"/>
                </a:solidFill>
                <a:latin typeface="Candara" panose="020E0502030303020204" pitchFamily="34" charset="0"/>
              </a:rPr>
              <a:t>Revenue</a:t>
            </a:r>
            <a:r>
              <a:rPr lang="en-GB" sz="1100" baseline="0">
                <a:solidFill>
                  <a:schemeClr val="bg1"/>
                </a:solidFill>
                <a:latin typeface="Candara" panose="020E0502030303020204" pitchFamily="34" charset="0"/>
              </a:rPr>
              <a:t> evolution</a:t>
            </a:r>
            <a:endParaRPr lang="en-GB" sz="1100">
              <a:solidFill>
                <a:schemeClr val="bg1"/>
              </a:solidFill>
              <a:latin typeface="Candara" panose="020E0502030303020204" pitchFamily="34" charset="0"/>
            </a:endParaRPr>
          </a:p>
        </c:rich>
      </c:tx>
      <c:layout>
        <c:manualLayout>
          <c:xMode val="edge"/>
          <c:yMode val="edge"/>
          <c:x val="2.613340434669072E-3"/>
          <c:y val="3.2884439733607716E-3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0147484922298856E-2"/>
          <c:y val="0"/>
          <c:w val="0.96834461831348051"/>
          <c:h val="0.84494091434179763"/>
        </c:manualLayout>
      </c:layout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'2.Comprehensive income'!$C$3:$G$3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'2.Comprehensive income'!$C$4:$G$4</c:f>
              <c:numCache>
                <c:formatCode>_(* #,##0_);_(* \(#,##0\);_(* "-"_);_(@_)</c:formatCode>
                <c:ptCount val="5"/>
                <c:pt idx="0">
                  <c:v>238236</c:v>
                </c:pt>
                <c:pt idx="1">
                  <c:v>251993</c:v>
                </c:pt>
                <c:pt idx="2">
                  <c:v>257709</c:v>
                </c:pt>
                <c:pt idx="3">
                  <c:v>245772</c:v>
                </c:pt>
                <c:pt idx="4">
                  <c:v>256050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39-40A4-842A-F57B55C62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9438480"/>
        <c:axId val="659435200"/>
      </c:lineChart>
      <c:catAx>
        <c:axId val="65943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59435200"/>
        <c:crosses val="autoZero"/>
        <c:auto val="1"/>
        <c:lblAlgn val="ctr"/>
        <c:lblOffset val="100"/>
        <c:noMultiLvlLbl val="0"/>
      </c:catAx>
      <c:valAx>
        <c:axId val="659435200"/>
        <c:scaling>
          <c:orientation val="minMax"/>
          <c:max val="270000"/>
          <c:min val="220000"/>
        </c:scaling>
        <c:delete val="1"/>
        <c:axPos val="l"/>
        <c:numFmt formatCode="_(* #,##0_);_(* \(#,##0\);_(* &quot;-&quot;_);_(@_)" sourceLinked="1"/>
        <c:majorTickMark val="out"/>
        <c:minorTickMark val="none"/>
        <c:tickLblPos val="nextTo"/>
        <c:crossAx val="659438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strRef>
          <c:f>hiddenPage!$D$7</c:f>
          <c:strCache>
            <c:ptCount val="1"/>
            <c:pt idx="0">
              <c:v>2020 structure of Equity&amp;Liabilities</c:v>
            </c:pt>
          </c:strCache>
        </c:strRef>
      </c:tx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cap="all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0.22492189150852021"/>
          <c:y val="0.11553805774278215"/>
          <c:w val="0.53606095727621084"/>
          <c:h val="0.8836254624416046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71A-45E7-B73F-9161B163120C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71A-45E7-B73F-9161B163120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chemeClr val="tx2">
                          <a:lumMod val="75000"/>
                        </a:schemeClr>
                      </a:solidFill>
                      <a:latin typeface="Candara" panose="020E0502030303020204" pitchFamily="34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D71A-45E7-B73F-9161B163120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chemeClr val="bg1"/>
                      </a:solidFill>
                      <a:latin typeface="Candara" panose="020E0502030303020204" pitchFamily="34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D71A-45E7-B73F-9161B16312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spc="0" baseline="0">
                    <a:solidFill>
                      <a:schemeClr val="tx2">
                        <a:lumMod val="7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hiddenPage!$A$10:$A$11</c:f>
              <c:strCache>
                <c:ptCount val="2"/>
                <c:pt idx="0">
                  <c:v>Total liabilities</c:v>
                </c:pt>
                <c:pt idx="1">
                  <c:v>Total Equity</c:v>
                </c:pt>
              </c:strCache>
            </c:strRef>
          </c:cat>
          <c:val>
            <c:numRef>
              <c:f>hiddenPage!$I$10:$I$11</c:f>
              <c:numCache>
                <c:formatCode>_-* #,##0_-;\-* #,##0_-;_-* "-"??_-;_-@_-</c:formatCode>
                <c:ptCount val="2"/>
                <c:pt idx="0">
                  <c:v>139805</c:v>
                </c:pt>
                <c:pt idx="1">
                  <c:v>139712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1A-45E7-B73F-9161B163120C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bg1"/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en-US" sz="1050">
                <a:solidFill>
                  <a:schemeClr val="bg1"/>
                </a:solidFill>
                <a:latin typeface="Candara" panose="020E0502030303020204" pitchFamily="34" charset="0"/>
              </a:rPr>
              <a:t>Evolution of the item</a:t>
            </a:r>
            <a:r>
              <a:rPr lang="en-US" sz="1050" baseline="0">
                <a:solidFill>
                  <a:schemeClr val="bg1"/>
                </a:solidFill>
                <a:latin typeface="Candara" panose="020E0502030303020204" pitchFamily="34" charset="0"/>
              </a:rPr>
              <a:t> "Revenues"</a:t>
            </a:r>
            <a:endParaRPr lang="en-US" sz="1050">
              <a:solidFill>
                <a:schemeClr val="bg1"/>
              </a:solidFill>
              <a:latin typeface="Candara" panose="020E0502030303020204" pitchFamily="34" charset="0"/>
            </a:endParaRPr>
          </a:p>
        </c:rich>
      </c:tx>
      <c:layout>
        <c:manualLayout>
          <c:xMode val="edge"/>
          <c:yMode val="edge"/>
          <c:x val="0.34136111111111112"/>
          <c:y val="5.7288757358312193E-3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3678477690288722E-2"/>
          <c:y val="0.23985373483334604"/>
          <c:w val="0.94576596675415547"/>
          <c:h val="0.6612460396076108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5.2205560886644381E-3"/>
                  <c:y val="-0.2562300960888734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6D-4DB8-AAC3-ABCA29FF6EA0}"/>
                </c:ext>
              </c:extLst>
            </c:dLbl>
            <c:dLbl>
              <c:idx val="3"/>
              <c:layout>
                <c:manualLayout>
                  <c:x val="-4.8854957133621958E-3"/>
                  <c:y val="-0.2213406329363177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C8-4C4A-A228-1681AD085B7D}"/>
                </c:ext>
              </c:extLst>
            </c:dLbl>
            <c:dLbl>
              <c:idx val="4"/>
              <c:layout>
                <c:manualLayout>
                  <c:x val="-4.5504353380599544E-3"/>
                  <c:y val="-0.1615099509985591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C8-4C4A-A228-1681AD085B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Snapshots!$D$3:$H$3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Snapshots!$D$4:$H$4</c:f>
              <c:numCache>
                <c:formatCode>_(* #,##0_);_(* \(#,##0\);_(* "-"_);_(@_)</c:formatCode>
                <c:ptCount val="5"/>
                <c:pt idx="0">
                  <c:v>238236</c:v>
                </c:pt>
                <c:pt idx="1">
                  <c:v>251993</c:v>
                </c:pt>
                <c:pt idx="2">
                  <c:v>257709</c:v>
                </c:pt>
                <c:pt idx="3">
                  <c:v>245772</c:v>
                </c:pt>
                <c:pt idx="4">
                  <c:v>256050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6D-4DB8-AAC3-ABCA29FF6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overlap val="100"/>
        <c:axId val="1651171103"/>
        <c:axId val="1660750815"/>
      </c:barChart>
      <c:catAx>
        <c:axId val="1651171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660750815"/>
        <c:crosses val="autoZero"/>
        <c:auto val="1"/>
        <c:lblAlgn val="ctr"/>
        <c:lblOffset val="100"/>
        <c:noMultiLvlLbl val="0"/>
      </c:catAx>
      <c:valAx>
        <c:axId val="1660750815"/>
        <c:scaling>
          <c:orientation val="minMax"/>
        </c:scaling>
        <c:delete val="1"/>
        <c:axPos val="l"/>
        <c:numFmt formatCode="_(* #,##0_);_(* \(#,##0\);_(* &quot;-&quot;_);_(@_)" sourceLinked="1"/>
        <c:majorTickMark val="none"/>
        <c:minorTickMark val="none"/>
        <c:tickLblPos val="nextTo"/>
        <c:crossAx val="1651171103"/>
        <c:crosses val="autoZero"/>
        <c:crossBetween val="between"/>
      </c:valAx>
      <c:spPr>
        <a:solidFill>
          <a:schemeClr val="bg2">
            <a:lumMod val="9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hiddenPage!$Q$62</c:f>
          <c:strCache>
            <c:ptCount val="1"/>
            <c:pt idx="0">
              <c:v>Structure of Revenues on companies in 2020</c:v>
            </c:pt>
          </c:strCache>
        </c:strRef>
      </c:tx>
      <c:overlay val="0"/>
      <c:spPr>
        <a:solidFill>
          <a:schemeClr val="bg2">
            <a:lumMod val="7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0.31506846019247592"/>
          <c:y val="0.21124198016914553"/>
          <c:w val="0.63529265091863518"/>
          <c:h val="0.608202464275298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0AFCD90-D719-4D05-962D-3DCE743D80CB}" type="CELLRANGE">
                      <a:rPr lang="en-US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42EE-4962-81CE-0DA884EE1D6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6AE4D56-E781-4423-95CF-F5CE1567CD48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42EE-4962-81CE-0DA884EE1D6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574A7BA-2E84-4395-8111-21C05DF5A47A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42EE-4962-81CE-0DA884EE1D6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B2B1C9F-5528-49EA-B3D0-C34678D268AE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42EE-4962-81CE-0DA884EE1D6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1E01A84-B2F5-402F-B424-3872CB9ECBD6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42EE-4962-81CE-0DA884EE1D6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6DD8A4E-F73C-4C57-A958-A218C0EE4D2E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42EE-4962-81CE-0DA884EE1D6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64009EE-5A6B-430B-9945-B60FBBE29739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42EE-4962-81CE-0DA884EE1D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hiddenPage!$N$52:$N$58</c:f>
              <c:strCache>
                <c:ptCount val="7"/>
                <c:pt idx="0">
                  <c:v>Romcarbon SA</c:v>
                </c:pt>
                <c:pt idx="1">
                  <c:v>LivingJumbo Industry SA</c:v>
                </c:pt>
                <c:pt idx="2">
                  <c:v>RC Energo Install SRL</c:v>
                </c:pt>
                <c:pt idx="3">
                  <c:v>Info Tech Solutions SRL</c:v>
                </c:pt>
                <c:pt idx="4">
                  <c:v>Eco Pack Management SA</c:v>
                </c:pt>
                <c:pt idx="5">
                  <c:v>Next Eco Reciclyng SA</c:v>
                </c:pt>
                <c:pt idx="6">
                  <c:v>Project Advice SRL</c:v>
                </c:pt>
              </c:strCache>
            </c:strRef>
          </c:cat>
          <c:val>
            <c:numRef>
              <c:f>hiddenPage!$R$52:$R$58</c:f>
              <c:numCache>
                <c:formatCode>0%</c:formatCode>
                <c:ptCount val="7"/>
                <c:pt idx="0">
                  <c:v>0.6045927372815646</c:v>
                </c:pt>
                <c:pt idx="1">
                  <c:v>0.36936093957714661</c:v>
                </c:pt>
                <c:pt idx="2">
                  <c:v>2.2920558063862614E-2</c:v>
                </c:pt>
                <c:pt idx="3">
                  <c:v>3.1257650774262806E-3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hiddenPage!$Q$52:$Q$58</c15:f>
                <c15:dlblRangeCache>
                  <c:ptCount val="7"/>
                  <c:pt idx="0">
                    <c:v> 181,146 </c:v>
                  </c:pt>
                  <c:pt idx="1">
                    <c:v> 110,667 </c:v>
                  </c:pt>
                  <c:pt idx="2">
                    <c:v> 6,867 </c:v>
                  </c:pt>
                  <c:pt idx="3">
                    <c:v> 937 </c:v>
                  </c:pt>
                  <c:pt idx="4">
                    <c:v> -   </c:v>
                  </c:pt>
                  <c:pt idx="5">
                    <c:v> -   </c:v>
                  </c:pt>
                  <c:pt idx="6">
                    <c:v> -  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42EE-4962-81CE-0DA884EE1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"/>
        <c:axId val="481014208"/>
        <c:axId val="481032096"/>
      </c:barChart>
      <c:catAx>
        <c:axId val="4810142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481032096"/>
        <c:crosses val="autoZero"/>
        <c:auto val="1"/>
        <c:lblAlgn val="ctr"/>
        <c:lblOffset val="100"/>
        <c:noMultiLvlLbl val="0"/>
      </c:catAx>
      <c:valAx>
        <c:axId val="48103209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481014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bg1"/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en-GB" sz="1050" b="0">
                <a:solidFill>
                  <a:schemeClr val="bg1"/>
                </a:solidFill>
                <a:latin typeface="Candara" panose="020E0502030303020204" pitchFamily="34" charset="0"/>
              </a:rPr>
              <a:t>Cash</a:t>
            </a:r>
            <a:r>
              <a:rPr lang="en-GB" sz="1050" b="0" baseline="0">
                <a:solidFill>
                  <a:schemeClr val="bg1"/>
                </a:solidFill>
                <a:latin typeface="Candara" panose="020E0502030303020204" pitchFamily="34" charset="0"/>
              </a:rPr>
              <a:t> components</a:t>
            </a:r>
            <a:endParaRPr lang="en-GB" sz="1050" b="0">
              <a:solidFill>
                <a:schemeClr val="bg1"/>
              </a:solidFill>
              <a:latin typeface="Candara" panose="020E0502030303020204" pitchFamily="34" charset="0"/>
            </a:endParaRPr>
          </a:p>
        </c:rich>
      </c:tx>
      <c:layout>
        <c:manualLayout>
          <c:xMode val="edge"/>
          <c:yMode val="edge"/>
          <c:x val="0.74992559475579612"/>
          <c:y val="2.3148148148148147E-2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Operational activity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'3.Statement of cash flow'!$C$4:$G$4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'3.Statement of cash flow'!$C$43:$G$43</c:f>
              <c:numCache>
                <c:formatCode>_(* #,##0_);_(* \(#,##0\);_(* "-"_);_(@_)</c:formatCode>
                <c:ptCount val="5"/>
                <c:pt idx="0">
                  <c:v>6292</c:v>
                </c:pt>
                <c:pt idx="1">
                  <c:v>12228</c:v>
                </c:pt>
                <c:pt idx="2">
                  <c:v>9436</c:v>
                </c:pt>
                <c:pt idx="3">
                  <c:v>-5710</c:v>
                </c:pt>
                <c:pt idx="4">
                  <c:v>20054.199999999997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87-4865-89F0-CB610DD27A45}"/>
            </c:ext>
          </c:extLst>
        </c:ser>
        <c:ser>
          <c:idx val="1"/>
          <c:order val="1"/>
          <c:tx>
            <c:v>Investment activity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'3.Statement of cash flow'!$C$4:$G$4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'3.Statement of cash flow'!$C$58:$G$58</c:f>
              <c:numCache>
                <c:formatCode>_(* #,##0_);_(* \(#,##0\);_(* "-"_);_(@_)</c:formatCode>
                <c:ptCount val="5"/>
                <c:pt idx="0">
                  <c:v>4611</c:v>
                </c:pt>
                <c:pt idx="1">
                  <c:v>-10258</c:v>
                </c:pt>
                <c:pt idx="2">
                  <c:v>12983</c:v>
                </c:pt>
                <c:pt idx="3">
                  <c:v>12620</c:v>
                </c:pt>
                <c:pt idx="4">
                  <c:v>4102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87-4865-89F0-CB610DD27A45}"/>
            </c:ext>
          </c:extLst>
        </c:ser>
        <c:ser>
          <c:idx val="2"/>
          <c:order val="2"/>
          <c:tx>
            <c:v>Financial activity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'3.Statement of cash flow'!$C$4:$G$4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'3.Statement of cash flow'!$C$67:$G$67</c:f>
              <c:numCache>
                <c:formatCode>_(* #,##0_);_(* \(#,##0\);_(* "-"_);_(@_)</c:formatCode>
                <c:ptCount val="5"/>
                <c:pt idx="0">
                  <c:v>-16372</c:v>
                </c:pt>
                <c:pt idx="1">
                  <c:v>-7517</c:v>
                </c:pt>
                <c:pt idx="2">
                  <c:v>-18625</c:v>
                </c:pt>
                <c:pt idx="3">
                  <c:v>-6937</c:v>
                </c:pt>
                <c:pt idx="4">
                  <c:v>-13215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87-4865-89F0-CB610DD27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57377968"/>
        <c:axId val="557382232"/>
      </c:barChart>
      <c:catAx>
        <c:axId val="55737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57382232"/>
        <c:crosses val="autoZero"/>
        <c:auto val="1"/>
        <c:lblAlgn val="ctr"/>
        <c:lblOffset val="100"/>
        <c:noMultiLvlLbl val="0"/>
      </c:catAx>
      <c:valAx>
        <c:axId val="557382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57377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20000"/>
        <a:lumOff val="8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bg1"/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en-GB" sz="1050">
                <a:solidFill>
                  <a:schemeClr val="bg1"/>
                </a:solidFill>
                <a:latin typeface="Candara" panose="020E0502030303020204" pitchFamily="34" charset="0"/>
              </a:rPr>
              <a:t>Cash flow evolution</a:t>
            </a:r>
          </a:p>
        </c:rich>
      </c:tx>
      <c:layout>
        <c:manualLayout>
          <c:xMode val="edge"/>
          <c:yMode val="edge"/>
          <c:x val="0.74444341047669049"/>
          <c:y val="4.1666666666666664E-2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'3.Statement of cash flow'!$C$4:$G$4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'3.Statement of cash flow'!$C$71:$G$71</c:f>
              <c:numCache>
                <c:formatCode>_(* #,##0_);_(* \(#,##0\);_(* "-"_);_(@_)</c:formatCode>
                <c:ptCount val="5"/>
                <c:pt idx="0">
                  <c:v>17014</c:v>
                </c:pt>
                <c:pt idx="1">
                  <c:v>11544</c:v>
                </c:pt>
                <c:pt idx="2">
                  <c:v>5997</c:v>
                </c:pt>
                <c:pt idx="3">
                  <c:v>9791</c:v>
                </c:pt>
                <c:pt idx="4">
                  <c:v>9764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F9-4BB2-B1B2-CF6AD503F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4699656"/>
        <c:axId val="554699328"/>
      </c:lineChart>
      <c:catAx>
        <c:axId val="554699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54699328"/>
        <c:crosses val="autoZero"/>
        <c:auto val="1"/>
        <c:lblAlgn val="ctr"/>
        <c:lblOffset val="100"/>
        <c:noMultiLvlLbl val="0"/>
      </c:catAx>
      <c:valAx>
        <c:axId val="55469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54699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hiddenPage!$A$1</c:f>
          <c:strCache>
            <c:ptCount val="1"/>
            <c:pt idx="0">
              <c:v>Total current assets vs. Total current liabilities</c:v>
            </c:pt>
          </c:strCache>
        </c:strRef>
      </c:tx>
      <c:layout>
        <c:manualLayout>
          <c:xMode val="edge"/>
          <c:yMode val="edge"/>
          <c:x val="0.60005873942750176"/>
          <c:y val="1.4362797370776868E-2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0.1575814682984529"/>
          <c:y val="0.11303977693424487"/>
          <c:w val="0.811863079615048"/>
          <c:h val="0.66846004422349148"/>
        </c:manualLayout>
      </c:layout>
      <c:lineChart>
        <c:grouping val="standard"/>
        <c:varyColors val="0"/>
        <c:ser>
          <c:idx val="0"/>
          <c:order val="0"/>
          <c:tx>
            <c:strRef>
              <c:f>hiddenPage!$A$4</c:f>
              <c:strCache>
                <c:ptCount val="1"/>
                <c:pt idx="0">
                  <c:v>Total current assets</c:v>
                </c:pt>
              </c:strCache>
            </c:strRef>
          </c:tx>
          <c:spPr>
            <a:ln w="28575" cap="rnd">
              <a:solidFill>
                <a:schemeClr val="bg2">
                  <a:lumMod val="2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hiddenPage!$B$3:$F$3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hiddenPage!$B$4:$F$4</c:f>
              <c:numCache>
                <c:formatCode>_-* #,##0_-;\-* #,##0_-;_-* "-"??_-;_-@_-</c:formatCode>
                <c:ptCount val="5"/>
                <c:pt idx="0">
                  <c:v>79815</c:v>
                </c:pt>
                <c:pt idx="1">
                  <c:v>81059</c:v>
                </c:pt>
                <c:pt idx="2">
                  <c:v>93635</c:v>
                </c:pt>
                <c:pt idx="3">
                  <c:v>100695</c:v>
                </c:pt>
                <c:pt idx="4">
                  <c:v>97642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41-44B5-AFF6-41EB06D27B78}"/>
            </c:ext>
          </c:extLst>
        </c:ser>
        <c:ser>
          <c:idx val="1"/>
          <c:order val="1"/>
          <c:tx>
            <c:strRef>
              <c:f>hiddenPage!$A$5</c:f>
              <c:strCache>
                <c:ptCount val="1"/>
                <c:pt idx="0">
                  <c:v>Total current liabilities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hiddenPage!$B$3:$F$3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hiddenPage!$B$5:$F$5</c:f>
              <c:numCache>
                <c:formatCode>_-* #,##0_-;\-* #,##0_-;_-* "-"??_-;_-@_-</c:formatCode>
                <c:ptCount val="5"/>
                <c:pt idx="0">
                  <c:v>94807</c:v>
                </c:pt>
                <c:pt idx="1">
                  <c:v>102347</c:v>
                </c:pt>
                <c:pt idx="2">
                  <c:v>95240</c:v>
                </c:pt>
                <c:pt idx="3">
                  <c:v>103905</c:v>
                </c:pt>
                <c:pt idx="4">
                  <c:v>93888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41-44B5-AFF6-41EB06D27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972048"/>
        <c:axId val="608969424"/>
      </c:lineChart>
      <c:catAx>
        <c:axId val="60897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>
                    <a:lumMod val="50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08969424"/>
        <c:crosses val="autoZero"/>
        <c:auto val="1"/>
        <c:lblAlgn val="ctr"/>
        <c:lblOffset val="100"/>
        <c:noMultiLvlLbl val="0"/>
      </c:catAx>
      <c:valAx>
        <c:axId val="608969424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0897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649623012157207E-3"/>
          <c:y val="0.90972966142504075"/>
          <c:w val="0.99235037698784279"/>
          <c:h val="8.0790496371073689E-2"/>
        </c:manualLayout>
      </c:layout>
      <c:overlay val="0"/>
      <c:spPr>
        <a:solidFill>
          <a:schemeClr val="bg2">
            <a:lumMod val="90000"/>
          </a:schemeClr>
        </a:solidFill>
        <a:ln>
          <a:solidFill>
            <a:schemeClr val="bg2">
              <a:lumMod val="2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hiddenPage!$A$7</c:f>
          <c:strCache>
            <c:ptCount val="1"/>
            <c:pt idx="0">
              <c:v>Total liabilities vs. Total Equity</c:v>
            </c:pt>
          </c:strCache>
        </c:strRef>
      </c:tx>
      <c:layout>
        <c:manualLayout>
          <c:xMode val="edge"/>
          <c:yMode val="edge"/>
          <c:x val="0.58147524900873404"/>
          <c:y val="1.388879988147983E-2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4.4896239600105636E-2"/>
          <c:y val="0.15712743896531589"/>
          <c:w val="0.95510376039989431"/>
          <c:h val="0.622293855385034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hiddenPage!$A$10</c:f>
              <c:strCache>
                <c:ptCount val="1"/>
                <c:pt idx="0">
                  <c:v>Total liabilities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BA7508B-5307-4BE6-9EA9-D32AA58737A7}" type="CELLRANGE">
                      <a:rPr lang="en-US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1F7A-4752-A765-9758B667116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E99E392-A644-4EBC-BB68-9E2BDFDECC0E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1F7A-4752-A765-9758B667116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4B87586-010D-4750-82BC-05EACA0893ED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AC5A-4F4A-8BB5-0A605CF589C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C643C5C-1E05-41E9-B1D0-BF3CDE0B0DD3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271C-4A48-86D1-EE631F17B37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9EC43AB-3DA8-4957-A511-80029EFFC94C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271C-4A48-86D1-EE631F17B3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hiddenPage!$B$9:$F$9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hiddenPage!$B$10:$F$10</c:f>
              <c:numCache>
                <c:formatCode>_-* #,##0_-;\-* #,##0_-;_-* "-"??_-;_-@_-</c:formatCode>
                <c:ptCount val="5"/>
                <c:pt idx="0">
                  <c:v>198833</c:v>
                </c:pt>
                <c:pt idx="1">
                  <c:v>196208</c:v>
                </c:pt>
                <c:pt idx="2">
                  <c:v>168993</c:v>
                </c:pt>
                <c:pt idx="3">
                  <c:v>159538</c:v>
                </c:pt>
                <c:pt idx="4">
                  <c:v>139805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hiddenPage!$B$63:$F$63</c15:f>
                <c15:dlblRangeCache>
                  <c:ptCount val="5"/>
                  <c:pt idx="0">
                    <c:v>57%</c:v>
                  </c:pt>
                  <c:pt idx="1">
                    <c:v>57%</c:v>
                  </c:pt>
                  <c:pt idx="2">
                    <c:v>54%</c:v>
                  </c:pt>
                  <c:pt idx="3">
                    <c:v>53%</c:v>
                  </c:pt>
                  <c:pt idx="4">
                    <c:v>50%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6414-4242-B919-D95F59CFEF20}"/>
            </c:ext>
          </c:extLst>
        </c:ser>
        <c:ser>
          <c:idx val="1"/>
          <c:order val="1"/>
          <c:tx>
            <c:strRef>
              <c:f>hiddenPage!$A$11</c:f>
              <c:strCache>
                <c:ptCount val="1"/>
                <c:pt idx="0">
                  <c:v>Total Equity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1802BF0-F2D9-4B40-B3FC-3B7C4923DE36}" type="CELLRANGE">
                      <a:rPr lang="en-US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1F7A-4752-A765-9758B667116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8740640-6E05-4C94-A0EE-4FE0D174BB1D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1F7A-4752-A765-9758B667116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F1DBE8C-5290-44DF-BB8F-E46950C40A7A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AC5A-4F4A-8BB5-0A605CF589C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CE65A44-E4E2-4187-9D21-B1D142D8A24C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271C-4A48-86D1-EE631F17B37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2EF4DD3-4EB8-4F8A-BCC0-B4E8AA4CB5BC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271C-4A48-86D1-EE631F17B3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hiddenPage!$B$9:$F$9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hiddenPage!$B$11:$F$11</c:f>
              <c:numCache>
                <c:formatCode>_-* #,##0_-;\-* #,##0_-;_-* "-"??_-;_-@_-</c:formatCode>
                <c:ptCount val="5"/>
                <c:pt idx="0">
                  <c:v>151063</c:v>
                </c:pt>
                <c:pt idx="1">
                  <c:v>147445</c:v>
                </c:pt>
                <c:pt idx="2">
                  <c:v>142568</c:v>
                </c:pt>
                <c:pt idx="3">
                  <c:v>139561</c:v>
                </c:pt>
                <c:pt idx="4">
                  <c:v>139712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hiddenPage!$B$64:$F$64</c15:f>
                <c15:dlblRangeCache>
                  <c:ptCount val="5"/>
                  <c:pt idx="0">
                    <c:v>43%</c:v>
                  </c:pt>
                  <c:pt idx="1">
                    <c:v>43%</c:v>
                  </c:pt>
                  <c:pt idx="2">
                    <c:v>46%</c:v>
                  </c:pt>
                  <c:pt idx="3">
                    <c:v>47%</c:v>
                  </c:pt>
                  <c:pt idx="4">
                    <c:v>50%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6414-4242-B919-D95F59CFE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617263200"/>
        <c:axId val="617269760"/>
      </c:barChart>
      <c:scatterChart>
        <c:scatterStyle val="lineMarker"/>
        <c:varyColors val="0"/>
        <c:ser>
          <c:idx val="2"/>
          <c:order val="2"/>
          <c:tx>
            <c:strRef>
              <c:f>hiddenPage!$A$66</c:f>
              <c:strCache>
                <c:ptCount val="1"/>
                <c:pt idx="0">
                  <c:v>Total Equity&amp;Liabilities</c:v>
                </c:pt>
              </c:strCache>
            </c:strRef>
          </c:tx>
          <c:spPr>
            <a:ln w="1270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75000"/>
                </a:schemeClr>
              </a:solidFill>
              <a:ln w="12700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hiddenPage!$B$12:$F$12</c:f>
              <c:numCache>
                <c:formatCode>_-* #,##0_-;\-* #,##0_-;_-* "-"??_-;_-@_-</c:formatCode>
                <c:ptCount val="5"/>
                <c:pt idx="0">
                  <c:v>349896</c:v>
                </c:pt>
                <c:pt idx="1">
                  <c:v>343653</c:v>
                </c:pt>
                <c:pt idx="2">
                  <c:v>311561</c:v>
                </c:pt>
                <c:pt idx="3">
                  <c:v>299099</c:v>
                </c:pt>
                <c:pt idx="4">
                  <c:v>279517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C5A-4F4A-8BB5-0A605CF58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7263200"/>
        <c:axId val="617269760"/>
      </c:scatterChart>
      <c:catAx>
        <c:axId val="61726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17269760"/>
        <c:crosses val="autoZero"/>
        <c:auto val="1"/>
        <c:lblAlgn val="ctr"/>
        <c:lblOffset val="100"/>
        <c:noMultiLvlLbl val="0"/>
      </c:catAx>
      <c:valAx>
        <c:axId val="617269760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61726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959291102905424E-2"/>
          <c:y val="0.89776428988043167"/>
          <c:w val="0.94842431679659456"/>
          <c:h val="7.7670909233898841E-2"/>
        </c:manualLayout>
      </c:layout>
      <c:overlay val="0"/>
      <c:spPr>
        <a:solidFill>
          <a:schemeClr val="bg2">
            <a:lumMod val="75000"/>
          </a:schemeClr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noFill/>
      <a:round/>
    </a:ln>
    <a:effectLst/>
  </c:spPr>
  <c:txPr>
    <a:bodyPr/>
    <a:lstStyle/>
    <a:p>
      <a:pPr>
        <a:defRPr sz="1000">
          <a:latin typeface="Candara" panose="020E0502030303020204" pitchFamily="34" charset="0"/>
        </a:defRPr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hiddenPage!$D$32</c:f>
          <c:strCache>
            <c:ptCount val="1"/>
            <c:pt idx="0">
              <c:v>Evolution of Total current assets in the period 2016-2020</c:v>
            </c:pt>
          </c:strCache>
        </c:strRef>
      </c:tx>
      <c:layout>
        <c:manualLayout>
          <c:xMode val="edge"/>
          <c:yMode val="edge"/>
          <c:x val="7.6433489292099498E-3"/>
          <c:y val="1.3414945378561496E-2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815099735537803E-2"/>
          <c:y val="9.1945114303733588E-2"/>
          <c:w val="0.97184900264462193"/>
          <c:h val="0.79699198518648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hiddenPage!$B$41</c:f>
              <c:strCache>
                <c:ptCount val="1"/>
                <c:pt idx="0">
                  <c:v>Base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hiddenPage!$A$42:$A$47</c:f>
              <c:numCache>
                <c:formatCode>General</c:formatCode>
                <c:ptCount val="6"/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hiddenPage!$B$42:$B$47</c:f>
              <c:numCache>
                <c:formatCode>_-* #,##0\ _l_e_i_-;\-* #,##0\ _l_e_i_-;_-* "-"??\ _l_e_i_-;_-@_-</c:formatCode>
                <c:ptCount val="6"/>
                <c:pt idx="1">
                  <c:v>79815</c:v>
                </c:pt>
                <c:pt idx="2">
                  <c:v>81059</c:v>
                </c:pt>
                <c:pt idx="3">
                  <c:v>93635</c:v>
                </c:pt>
                <c:pt idx="4">
                  <c:v>97642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8A-4267-ADC1-CDBB0FEC14C9}"/>
            </c:ext>
          </c:extLst>
        </c:ser>
        <c:ser>
          <c:idx val="1"/>
          <c:order val="1"/>
          <c:tx>
            <c:strRef>
              <c:f>hiddenPage!$C$41</c:f>
              <c:strCache>
                <c:ptCount val="1"/>
                <c:pt idx="0">
                  <c:v>End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hiddenPage!$A$42:$A$47</c:f>
              <c:numCache>
                <c:formatCode>General</c:formatCode>
                <c:ptCount val="6"/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hiddenPage!$C$42:$C$47</c:f>
              <c:numCache>
                <c:formatCode>_-* #,##0\ _l_e_i_-;\-* #,##0\ _l_e_i_-;_-* "-"??\ _l_e_i_-;_-@_-</c:formatCode>
                <c:ptCount val="6"/>
                <c:pt idx="5">
                  <c:v>97642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8A-4267-ADC1-CDBB0FEC14C9}"/>
            </c:ext>
          </c:extLst>
        </c:ser>
        <c:ser>
          <c:idx val="2"/>
          <c:order val="2"/>
          <c:tx>
            <c:strRef>
              <c:f>hiddenPage!$D$41</c:f>
              <c:strCache>
                <c:ptCount val="1"/>
                <c:pt idx="0">
                  <c:v>Down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8.3333333333333332E-3"/>
                  <c:y val="-1.388888888888888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8A-4267-ADC1-CDBB0FEC14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hiddenPage!$A$42:$A$47</c:f>
              <c:numCache>
                <c:formatCode>General</c:formatCode>
                <c:ptCount val="6"/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hiddenPage!$D$42:$D$47</c:f>
              <c:numCache>
                <c:formatCode>_-* #,##0\ _l_e_i_-;\-* #,##0\ _l_e_i_-;_-* "-"??\ _l_e_i_-;_-@_-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8A-4267-ADC1-CDBB0FEC14C9}"/>
            </c:ext>
          </c:extLst>
        </c:ser>
        <c:ser>
          <c:idx val="3"/>
          <c:order val="3"/>
          <c:tx>
            <c:strRef>
              <c:f>hiddenPage!$E$41</c:f>
              <c:strCache>
                <c:ptCount val="1"/>
                <c:pt idx="0">
                  <c:v>Up</c:v>
                </c:pt>
              </c:strCache>
            </c:strRef>
          </c:tx>
          <c:spPr>
            <a:solidFill>
              <a:srgbClr val="8BC167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2.1219040955771699E-3"/>
                  <c:y val="2.842750044953977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8A-4267-ADC1-CDBB0FEC14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hiddenPage!$A$42:$A$47</c:f>
              <c:numCache>
                <c:formatCode>General</c:formatCode>
                <c:ptCount val="6"/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hiddenPage!$E$42:$E$47</c:f>
              <c:numCache>
                <c:formatCode>_-* #,##0\ _l_e_i_-;\-* #,##0\ _l_e_i_-;_-* "-"??\ _l_e_i_-;_-@_-</c:formatCode>
                <c:ptCount val="6"/>
                <c:pt idx="1">
                  <c:v>1244</c:v>
                </c:pt>
                <c:pt idx="2">
                  <c:v>12576</c:v>
                </c:pt>
                <c:pt idx="3">
                  <c:v>7060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68A-4267-ADC1-CDBB0FEC14C9}"/>
            </c:ext>
          </c:extLst>
        </c:ser>
        <c:ser>
          <c:idx val="4"/>
          <c:order val="4"/>
          <c:tx>
            <c:strRef>
              <c:f>hiddenPage!$F$41</c:f>
              <c:strCache>
                <c:ptCount val="1"/>
                <c:pt idx="0">
                  <c:v>Start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68A-4267-ADC1-CDBB0FEC14C9}"/>
              </c:ext>
            </c:extLst>
          </c:dPt>
          <c:dLbls>
            <c:dLbl>
              <c:idx val="0"/>
              <c:layout>
                <c:manualLayout>
                  <c:x val="-2.7777777777777779E-3"/>
                  <c:y val="-7.40740740740740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68A-4267-ADC1-CDBB0FEC14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hiddenPage!$A$42:$A$47</c:f>
              <c:numCache>
                <c:formatCode>General</c:formatCode>
                <c:ptCount val="6"/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hiddenPage!$F$42:$F$47</c:f>
              <c:numCache>
                <c:formatCode>General</c:formatCode>
                <c:ptCount val="6"/>
                <c:pt idx="0" formatCode="_-* #,##0_-;\-* #,##0_-;_-* &quot;-&quot;??_-;_-@_-">
                  <c:v>79815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68A-4267-ADC1-CDBB0FEC14C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573463936"/>
        <c:axId val="573462624"/>
      </c:barChart>
      <c:catAx>
        <c:axId val="57346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73462624"/>
        <c:crosses val="autoZero"/>
        <c:auto val="1"/>
        <c:lblAlgn val="ctr"/>
        <c:lblOffset val="100"/>
        <c:noMultiLvlLbl val="0"/>
      </c:catAx>
      <c:valAx>
        <c:axId val="5734626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73463936"/>
        <c:crosses val="autoZero"/>
        <c:crossBetween val="between"/>
      </c:valAx>
      <c:spPr>
        <a:solidFill>
          <a:schemeClr val="bg2">
            <a:lumMod val="9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2">
        <a:lumMod val="90000"/>
      </a:schemeClr>
    </a:solidFill>
    <a:ln w="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hiddenPage!$A$13</c:f>
          <c:strCache>
            <c:ptCount val="1"/>
            <c:pt idx="0">
              <c:v>Structure of Current assets in 2020</c:v>
            </c:pt>
          </c:strCache>
        </c:strRef>
      </c:tx>
      <c:layout>
        <c:manualLayout>
          <c:xMode val="edge"/>
          <c:yMode val="edge"/>
          <c:x val="0.33794243822970405"/>
          <c:y val="2.8933086731294019E-2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0.34406896551724137"/>
          <c:y val="0.23767695411295978"/>
          <c:w val="0.61276441306905594"/>
          <c:h val="0.5839023443773937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hiddenPage!$Q$16</c:f>
                  <c:strCache>
                    <c:ptCount val="1"/>
                    <c:pt idx="0">
                      <c:v> 39,279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{63EA6A31-C34C-44C4-8254-ADDB45673C7D}</c15:txfldGUID>
                      <c15:f>hiddenPage!$Q$16</c15:f>
                      <c15:dlblFieldTableCache>
                        <c:ptCount val="1"/>
                        <c:pt idx="0">
                          <c:v> 39,279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75C2-462E-9865-AECEF9265BA7}"/>
                </c:ext>
              </c:extLst>
            </c:dLbl>
            <c:dLbl>
              <c:idx val="1"/>
              <c:tx>
                <c:strRef>
                  <c:f>hiddenPage!$Q$17</c:f>
                  <c:strCache>
                    <c:ptCount val="1"/>
                    <c:pt idx="0">
                      <c:v> 36,190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{64091C9F-51FC-4FED-9843-BF6501519D81}</c15:txfldGUID>
                      <c15:f>hiddenPage!$Q$17</c15:f>
                      <c15:dlblFieldTableCache>
                        <c:ptCount val="1"/>
                        <c:pt idx="0">
                          <c:v> 36,190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75C2-462E-9865-AECEF9265BA7}"/>
                </c:ext>
              </c:extLst>
            </c:dLbl>
            <c:dLbl>
              <c:idx val="2"/>
              <c:tx>
                <c:strRef>
                  <c:f>hiddenPage!$Q$18</c:f>
                  <c:strCache>
                    <c:ptCount val="1"/>
                    <c:pt idx="0">
                      <c:v> 20,705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{2CAD593E-16DC-4C95-A9B1-C5A65B5BF114}</c15:txfldGUID>
                      <c15:f>hiddenPage!$Q$18</c15:f>
                      <c15:dlblFieldTableCache>
                        <c:ptCount val="1"/>
                        <c:pt idx="0">
                          <c:v> 20,705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75C2-462E-9865-AECEF9265BA7}"/>
                </c:ext>
              </c:extLst>
            </c:dLbl>
            <c:dLbl>
              <c:idx val="3"/>
              <c:tx>
                <c:strRef>
                  <c:f>hiddenPage!$Q$19</c:f>
                  <c:strCache>
                    <c:ptCount val="1"/>
                    <c:pt idx="0">
                      <c:v> 1,216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{30377EB2-BCE2-4365-85C3-085D4F9934AC}</c15:txfldGUID>
                      <c15:f>hiddenPage!$Q$19</c15:f>
                      <c15:dlblFieldTableCache>
                        <c:ptCount val="1"/>
                        <c:pt idx="0">
                          <c:v> 1,216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75C2-462E-9865-AECEF9265BA7}"/>
                </c:ext>
              </c:extLst>
            </c:dLbl>
            <c:dLbl>
              <c:idx val="4"/>
              <c:tx>
                <c:strRef>
                  <c:f>hiddenPage!$Q$20</c:f>
                  <c:strCache>
                    <c:ptCount val="1"/>
                    <c:pt idx="0">
                      <c:v> 181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{3D69677F-FA55-4D31-8392-5F6F51D0996E}</c15:txfldGUID>
                      <c15:f>hiddenPage!$Q$20</c15:f>
                      <c15:dlblFieldTableCache>
                        <c:ptCount val="1"/>
                        <c:pt idx="0">
                          <c:v> 181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75C2-462E-9865-AECEF9265BA7}"/>
                </c:ext>
              </c:extLst>
            </c:dLbl>
            <c:dLbl>
              <c:idx val="5"/>
              <c:tx>
                <c:strRef>
                  <c:f>hiddenPage!$Q$21</c:f>
                  <c:strCache>
                    <c:ptCount val="1"/>
                    <c:pt idx="0">
                      <c:v> 71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{EA054609-2159-4230-B351-40B42BCE987B}</c15:txfldGUID>
                      <c15:f>hiddenPage!$Q$21</c15:f>
                      <c15:dlblFieldTableCache>
                        <c:ptCount val="1"/>
                        <c:pt idx="0">
                          <c:v> 71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75C2-462E-9865-AECEF9265B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hiddenPage!$N$16:$N$21</c:f>
              <c:strCache>
                <c:ptCount val="6"/>
                <c:pt idx="0">
                  <c:v>Current inventories</c:v>
                </c:pt>
                <c:pt idx="1">
                  <c:v>Trade and other current receivables</c:v>
                </c:pt>
                <c:pt idx="2">
                  <c:v>Cash and cash equivalents</c:v>
                </c:pt>
                <c:pt idx="3">
                  <c:v>Other current non-financial assets</c:v>
                </c:pt>
                <c:pt idx="4">
                  <c:v>Other current financial assets</c:v>
                </c:pt>
                <c:pt idx="5">
                  <c:v>Non-current assets or disposal groups classified as held for sale or as held for distribution to owners</c:v>
                </c:pt>
              </c:strCache>
            </c:strRef>
          </c:cat>
          <c:val>
            <c:numRef>
              <c:f>hiddenPage!$R$16:$R$21</c:f>
              <c:numCache>
                <c:formatCode>0%</c:formatCode>
                <c:ptCount val="6"/>
                <c:pt idx="0">
                  <c:v>0.40227566006431659</c:v>
                </c:pt>
                <c:pt idx="1">
                  <c:v>0.37063968374265172</c:v>
                </c:pt>
                <c:pt idx="2">
                  <c:v>0.21205014235677269</c:v>
                </c:pt>
                <c:pt idx="3">
                  <c:v>1.2453657237664119E-2</c:v>
                </c:pt>
                <c:pt idx="4">
                  <c:v>1.8537104934352022E-3</c:v>
                </c:pt>
                <c:pt idx="5">
                  <c:v>7.2714610515966485E-4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C2-462E-9865-AECEF9265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axId val="506901752"/>
        <c:axId val="506893224"/>
      </c:barChart>
      <c:catAx>
        <c:axId val="5069017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06893224"/>
        <c:crosses val="autoZero"/>
        <c:auto val="1"/>
        <c:lblAlgn val="ctr"/>
        <c:lblOffset val="100"/>
        <c:noMultiLvlLbl val="0"/>
      </c:catAx>
      <c:valAx>
        <c:axId val="506893224"/>
        <c:scaling>
          <c:orientation val="minMax"/>
        </c:scaling>
        <c:delete val="0"/>
        <c:axPos val="t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06901752"/>
        <c:crosses val="autoZero"/>
        <c:crossBetween val="between"/>
      </c:valAx>
      <c:spPr>
        <a:solidFill>
          <a:schemeClr val="bg2">
            <a:lumMod val="75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Group!A1"/><Relationship Id="rId3" Type="http://schemas.openxmlformats.org/officeDocument/2006/relationships/hyperlink" Target="#'2.Comprehensive income'!A1"/><Relationship Id="rId7" Type="http://schemas.openxmlformats.org/officeDocument/2006/relationships/hyperlink" Target="#Charts!A1"/><Relationship Id="rId2" Type="http://schemas.openxmlformats.org/officeDocument/2006/relationships/hyperlink" Target="#'1.FinancialPosition'!A1"/><Relationship Id="rId1" Type="http://schemas.openxmlformats.org/officeDocument/2006/relationships/hyperlink" Target="#Snapshots!A1"/><Relationship Id="rId6" Type="http://schemas.openxmlformats.org/officeDocument/2006/relationships/chart" Target="../charts/chart1.xml"/><Relationship Id="rId5" Type="http://schemas.openxmlformats.org/officeDocument/2006/relationships/hyperlink" Target="#'4.Financial ratios'!A1"/><Relationship Id="rId4" Type="http://schemas.openxmlformats.org/officeDocument/2006/relationships/hyperlink" Target="#'3.Statement of cash flow'!A1"/><Relationship Id="rId9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Contents!H6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ontents!H6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s!H6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ontents!H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hyperlink" Target="#Contents!H6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Contents!H6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Contents!H6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hyperlink" Target="#Contents!H6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237913</xdr:colOff>
      <xdr:row>0</xdr:row>
      <xdr:rowOff>89958</xdr:rowOff>
    </xdr:from>
    <xdr:to>
      <xdr:col>16</xdr:col>
      <xdr:colOff>583141</xdr:colOff>
      <xdr:row>4</xdr:row>
      <xdr:rowOff>42333</xdr:rowOff>
    </xdr:to>
    <xdr:sp macro="" textlink="">
      <xdr:nvSpPr>
        <xdr:cNvPr id="9" name="Title 1">
          <a:extLst>
            <a:ext uri="{FF2B5EF4-FFF2-40B4-BE49-F238E27FC236}">
              <a16:creationId xmlns:a16="http://schemas.microsoft.com/office/drawing/2014/main" id="{30E4A61E-EE59-45FF-BA59-CE32CE3A4C7F}"/>
            </a:ext>
          </a:extLst>
        </xdr:cNvPr>
        <xdr:cNvSpPr>
          <a:spLocks noGrp="1"/>
        </xdr:cNvSpPr>
      </xdr:nvSpPr>
      <xdr:spPr>
        <a:xfrm>
          <a:off x="4606713" y="89958"/>
          <a:ext cx="6136428" cy="705908"/>
        </a:xfrm>
        <a:prstGeom prst="rect">
          <a:avLst/>
        </a:prstGeom>
        <a:solidFill>
          <a:schemeClr val="bg2">
            <a:lumMod val="50000"/>
          </a:schemeClr>
        </a:solidFill>
        <a:ln>
          <a:noFill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="horz" wrap="square" lIns="91440" tIns="45720" rIns="91440" bIns="45720" rtlCol="0" anchor="ctr">
          <a:normAutofit/>
        </a:bodyPr>
        <a:lstStyle>
          <a:lvl1pPr algn="l" defTabSz="685800" rtl="0" eaLnBrk="1" latinLnBrk="0" hangingPunct="1">
            <a:lnSpc>
              <a:spcPct val="90000"/>
            </a:lnSpc>
            <a:spcBef>
              <a:spcPct val="0"/>
            </a:spcBef>
            <a:buNone/>
            <a:defRPr sz="33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r>
            <a:rPr lang="en-US" sz="2800" b="1">
              <a:ln>
                <a:solidFill>
                  <a:schemeClr val="tx2">
                    <a:lumMod val="50000"/>
                  </a:schemeClr>
                </a:solidFill>
              </a:ln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andara" panose="020E0502030303020204" pitchFamily="34" charset="0"/>
            </a:rPr>
            <a:t>TABLE OF CONTENTS</a:t>
          </a:r>
        </a:p>
      </xdr:txBody>
    </xdr:sp>
    <xdr:clientData/>
  </xdr:twoCellAnchor>
  <xdr:twoCellAnchor>
    <xdr:from>
      <xdr:col>17</xdr:col>
      <xdr:colOff>353483</xdr:colOff>
      <xdr:row>6</xdr:row>
      <xdr:rowOff>46567</xdr:rowOff>
    </xdr:from>
    <xdr:to>
      <xdr:col>20</xdr:col>
      <xdr:colOff>271683</xdr:colOff>
      <xdr:row>8</xdr:row>
      <xdr:rowOff>76434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0DAE45-A9A8-4312-ABDB-3A45DB62C517}"/>
            </a:ext>
          </a:extLst>
        </xdr:cNvPr>
        <xdr:cNvSpPr/>
      </xdr:nvSpPr>
      <xdr:spPr>
        <a:xfrm>
          <a:off x="9404350" y="994834"/>
          <a:ext cx="1620000" cy="5040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SNAPSHOTS</a:t>
          </a:r>
        </a:p>
      </xdr:txBody>
    </xdr:sp>
    <xdr:clientData/>
  </xdr:twoCellAnchor>
  <xdr:twoCellAnchor>
    <xdr:from>
      <xdr:col>17</xdr:col>
      <xdr:colOff>373591</xdr:colOff>
      <xdr:row>11</xdr:row>
      <xdr:rowOff>139700</xdr:rowOff>
    </xdr:from>
    <xdr:to>
      <xdr:col>20</xdr:col>
      <xdr:colOff>291791</xdr:colOff>
      <xdr:row>14</xdr:row>
      <xdr:rowOff>25633</xdr:rowOff>
    </xdr:to>
    <xdr:sp macro="" textlink="">
      <xdr:nvSpPr>
        <xdr:cNvPr id="8" name="Rectangle: Rounded Corner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F8F312-05FC-45EC-919F-81B74F0BBF5B}"/>
            </a:ext>
          </a:extLst>
        </xdr:cNvPr>
        <xdr:cNvSpPr/>
      </xdr:nvSpPr>
      <xdr:spPr>
        <a:xfrm>
          <a:off x="9424458" y="2197100"/>
          <a:ext cx="1620000" cy="5040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FINANCIAL</a:t>
          </a:r>
          <a:r>
            <a:rPr lang="en-GB" sz="1050" b="1" baseline="0">
              <a:solidFill>
                <a:sysClr val="windowText" lastClr="000000"/>
              </a:solidFill>
              <a:latin typeface="Candara" panose="020E0502030303020204" pitchFamily="34" charset="0"/>
            </a:rPr>
            <a:t> POSITION</a:t>
          </a:r>
          <a:endParaRPr lang="en-GB" sz="1050" b="1">
            <a:solidFill>
              <a:sysClr val="windowText" lastClr="000000"/>
            </a:solidFill>
            <a:latin typeface="Candara" panose="020E0502030303020204" pitchFamily="34" charset="0"/>
          </a:endParaRPr>
        </a:p>
      </xdr:txBody>
    </xdr:sp>
    <xdr:clientData/>
  </xdr:twoCellAnchor>
  <xdr:twoCellAnchor>
    <xdr:from>
      <xdr:col>17</xdr:col>
      <xdr:colOff>386291</xdr:colOff>
      <xdr:row>14</xdr:row>
      <xdr:rowOff>135466</xdr:rowOff>
    </xdr:from>
    <xdr:to>
      <xdr:col>20</xdr:col>
      <xdr:colOff>304491</xdr:colOff>
      <xdr:row>17</xdr:row>
      <xdr:rowOff>55266</xdr:rowOff>
    </xdr:to>
    <xdr:sp macro="" textlink="">
      <xdr:nvSpPr>
        <xdr:cNvPr id="11" name="Rectangle: Rounded Corners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26C9ED3-5663-4DB8-B52A-6FC03136AB92}"/>
            </a:ext>
          </a:extLst>
        </xdr:cNvPr>
        <xdr:cNvSpPr/>
      </xdr:nvSpPr>
      <xdr:spPr>
        <a:xfrm>
          <a:off x="9437158" y="2810933"/>
          <a:ext cx="1620000" cy="5040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950" b="1">
              <a:solidFill>
                <a:sysClr val="windowText" lastClr="000000"/>
              </a:solidFill>
              <a:latin typeface="Candara" panose="020E0502030303020204" pitchFamily="34" charset="0"/>
            </a:rPr>
            <a:t>STATEMENT OF COMPREHENSIVE</a:t>
          </a:r>
          <a:r>
            <a:rPr lang="en-GB" sz="950" b="1" baseline="0">
              <a:solidFill>
                <a:sysClr val="windowText" lastClr="000000"/>
              </a:solidFill>
              <a:latin typeface="Candara" panose="020E0502030303020204" pitchFamily="34" charset="0"/>
            </a:rPr>
            <a:t> INCOME</a:t>
          </a:r>
          <a:endParaRPr lang="en-GB" sz="950" b="1">
            <a:solidFill>
              <a:sysClr val="windowText" lastClr="000000"/>
            </a:solidFill>
            <a:latin typeface="Candara" panose="020E0502030303020204" pitchFamily="34" charset="0"/>
          </a:endParaRPr>
        </a:p>
      </xdr:txBody>
    </xdr:sp>
    <xdr:clientData/>
  </xdr:twoCellAnchor>
  <xdr:twoCellAnchor>
    <xdr:from>
      <xdr:col>17</xdr:col>
      <xdr:colOff>386291</xdr:colOff>
      <xdr:row>17</xdr:row>
      <xdr:rowOff>182033</xdr:rowOff>
    </xdr:from>
    <xdr:to>
      <xdr:col>20</xdr:col>
      <xdr:colOff>304491</xdr:colOff>
      <xdr:row>20</xdr:row>
      <xdr:rowOff>101833</xdr:rowOff>
    </xdr:to>
    <xdr:sp macro="" textlink="">
      <xdr:nvSpPr>
        <xdr:cNvPr id="12" name="Rectangle: Rounded Corners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8AA3E13-CC9A-487B-AB12-2C4DF279077F}"/>
            </a:ext>
          </a:extLst>
        </xdr:cNvPr>
        <xdr:cNvSpPr/>
      </xdr:nvSpPr>
      <xdr:spPr>
        <a:xfrm>
          <a:off x="9437158" y="3441700"/>
          <a:ext cx="1620000" cy="5040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CASH FLOW</a:t>
          </a:r>
        </a:p>
      </xdr:txBody>
    </xdr:sp>
    <xdr:clientData/>
  </xdr:twoCellAnchor>
  <xdr:twoCellAnchor>
    <xdr:from>
      <xdr:col>17</xdr:col>
      <xdr:colOff>378885</xdr:colOff>
      <xdr:row>20</xdr:row>
      <xdr:rowOff>175682</xdr:rowOff>
    </xdr:from>
    <xdr:to>
      <xdr:col>20</xdr:col>
      <xdr:colOff>297085</xdr:colOff>
      <xdr:row>23</xdr:row>
      <xdr:rowOff>95482</xdr:rowOff>
    </xdr:to>
    <xdr:sp macro="" textlink="">
      <xdr:nvSpPr>
        <xdr:cNvPr id="13" name="Rectangle: Rounded Corners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EBD86A7-2DB3-44FD-843E-2F3C37F5A2EE}"/>
            </a:ext>
          </a:extLst>
        </xdr:cNvPr>
        <xdr:cNvSpPr/>
      </xdr:nvSpPr>
      <xdr:spPr>
        <a:xfrm>
          <a:off x="9429752" y="4019549"/>
          <a:ext cx="1620000" cy="5040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FINANCIAL RATIOS</a:t>
          </a:r>
        </a:p>
      </xdr:txBody>
    </xdr:sp>
    <xdr:clientData/>
  </xdr:twoCellAnchor>
  <xdr:twoCellAnchor>
    <xdr:from>
      <xdr:col>4</xdr:col>
      <xdr:colOff>0</xdr:colOff>
      <xdr:row>9</xdr:row>
      <xdr:rowOff>84667</xdr:rowOff>
    </xdr:from>
    <xdr:to>
      <xdr:col>16</xdr:col>
      <xdr:colOff>603249</xdr:colOff>
      <xdr:row>22</xdr:row>
      <xdr:rowOff>126999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4B538D89-7D1F-4FC4-BC66-E2A7A244C8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397933</xdr:colOff>
      <xdr:row>23</xdr:row>
      <xdr:rowOff>188383</xdr:rowOff>
    </xdr:from>
    <xdr:to>
      <xdr:col>20</xdr:col>
      <xdr:colOff>316133</xdr:colOff>
      <xdr:row>26</xdr:row>
      <xdr:rowOff>108183</xdr:rowOff>
    </xdr:to>
    <xdr:sp macro="" textlink="">
      <xdr:nvSpPr>
        <xdr:cNvPr id="14" name="Rectangle: Rounded Corners 13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9237CBE-DE8F-4D0E-8544-86F0D27F8950}"/>
            </a:ext>
          </a:extLst>
        </xdr:cNvPr>
        <xdr:cNvSpPr/>
      </xdr:nvSpPr>
      <xdr:spPr>
        <a:xfrm>
          <a:off x="9448800" y="4616450"/>
          <a:ext cx="1620000" cy="5040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INTERACTIVE CHARTS</a:t>
          </a:r>
        </a:p>
      </xdr:txBody>
    </xdr:sp>
    <xdr:clientData/>
  </xdr:twoCellAnchor>
  <xdr:twoCellAnchor>
    <xdr:from>
      <xdr:col>17</xdr:col>
      <xdr:colOff>349250</xdr:colOff>
      <xdr:row>8</xdr:row>
      <xdr:rowOff>173567</xdr:rowOff>
    </xdr:from>
    <xdr:to>
      <xdr:col>20</xdr:col>
      <xdr:colOff>267450</xdr:colOff>
      <xdr:row>11</xdr:row>
      <xdr:rowOff>42567</xdr:rowOff>
    </xdr:to>
    <xdr:sp macro="" textlink="">
      <xdr:nvSpPr>
        <xdr:cNvPr id="17" name="Rectangle: Rounded Corners 1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56E66245-708C-4436-9151-97202724BB45}"/>
            </a:ext>
          </a:extLst>
        </xdr:cNvPr>
        <xdr:cNvSpPr/>
      </xdr:nvSpPr>
      <xdr:spPr>
        <a:xfrm>
          <a:off x="9400117" y="1595967"/>
          <a:ext cx="1620000" cy="5040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THE GROUP</a:t>
          </a:r>
        </a:p>
      </xdr:txBody>
    </xdr:sp>
    <xdr:clientData/>
  </xdr:twoCellAnchor>
  <xdr:twoCellAnchor editAs="oneCell">
    <xdr:from>
      <xdr:col>12</xdr:col>
      <xdr:colOff>432647</xdr:colOff>
      <xdr:row>1</xdr:row>
      <xdr:rowOff>5292</xdr:rowOff>
    </xdr:from>
    <xdr:to>
      <xdr:col>16</xdr:col>
      <xdr:colOff>320464</xdr:colOff>
      <xdr:row>3</xdr:row>
      <xdr:rowOff>142028</xdr:rowOff>
    </xdr:to>
    <xdr:pic>
      <xdr:nvPicPr>
        <xdr:cNvPr id="15" name="Imagine 1" descr="O imagine care conține text&#10;&#10;Descriere generată automat">
          <a:extLst>
            <a:ext uri="{FF2B5EF4-FFF2-40B4-BE49-F238E27FC236}">
              <a16:creationId xmlns:a16="http://schemas.microsoft.com/office/drawing/2014/main" id="{6F0E78E5-08A0-4945-84FC-D302B8FD1797}"/>
            </a:ext>
          </a:extLst>
        </xdr:cNvPr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4847" y="200025"/>
          <a:ext cx="2139950" cy="509270"/>
        </a:xfrm>
        <a:prstGeom prst="rect">
          <a:avLst/>
        </a:prstGeom>
      </xdr:spPr>
    </xdr:pic>
    <xdr:clientData/>
  </xdr:twoCellAnchor>
  <xdr:twoCellAnchor>
    <xdr:from>
      <xdr:col>2</xdr:col>
      <xdr:colOff>397932</xdr:colOff>
      <xdr:row>0</xdr:row>
      <xdr:rowOff>30480</xdr:rowOff>
    </xdr:from>
    <xdr:to>
      <xdr:col>3</xdr:col>
      <xdr:colOff>16932</xdr:colOff>
      <xdr:row>34</xdr:row>
      <xdr:rowOff>72812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B0A9FEB5-D592-46A4-A37D-1760C3FEF24E}"/>
            </a:ext>
          </a:extLst>
        </xdr:cNvPr>
        <xdr:cNvSpPr/>
      </xdr:nvSpPr>
      <xdr:spPr>
        <a:xfrm>
          <a:off x="1777152" y="30480"/>
          <a:ext cx="243840" cy="6374552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o-RO" sz="1100"/>
        </a:p>
      </xdr:txBody>
    </xdr:sp>
    <xdr:clientData/>
  </xdr:twoCellAnchor>
  <xdr:twoCellAnchor>
    <xdr:from>
      <xdr:col>1</xdr:col>
      <xdr:colOff>182880</xdr:colOff>
      <xdr:row>0</xdr:row>
      <xdr:rowOff>33867</xdr:rowOff>
    </xdr:from>
    <xdr:to>
      <xdr:col>1</xdr:col>
      <xdr:colOff>589279</xdr:colOff>
      <xdr:row>34</xdr:row>
      <xdr:rowOff>76199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CF9A12D6-A28C-42DF-A0B9-D00B2DC00787}"/>
            </a:ext>
          </a:extLst>
        </xdr:cNvPr>
        <xdr:cNvSpPr/>
      </xdr:nvSpPr>
      <xdr:spPr>
        <a:xfrm>
          <a:off x="937260" y="33867"/>
          <a:ext cx="406399" cy="6374552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o-RO" sz="1100"/>
        </a:p>
      </xdr:txBody>
    </xdr:sp>
    <xdr:clientData/>
  </xdr:twoCellAnchor>
  <xdr:twoCellAnchor>
    <xdr:from>
      <xdr:col>2</xdr:col>
      <xdr:colOff>30480</xdr:colOff>
      <xdr:row>0</xdr:row>
      <xdr:rowOff>22860</xdr:rowOff>
    </xdr:from>
    <xdr:to>
      <xdr:col>2</xdr:col>
      <xdr:colOff>350520</xdr:colOff>
      <xdr:row>34</xdr:row>
      <xdr:rowOff>65192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BAC63808-4F06-4EF5-8E0F-84DB3DA8497F}"/>
            </a:ext>
          </a:extLst>
        </xdr:cNvPr>
        <xdr:cNvSpPr/>
      </xdr:nvSpPr>
      <xdr:spPr>
        <a:xfrm>
          <a:off x="1409700" y="22860"/>
          <a:ext cx="320040" cy="6374552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o-RO" sz="1100"/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0.33873</cdr:x>
      <cdr:y>0.85832</cdr:y>
    </cdr:from>
    <cdr:to>
      <cdr:x>0.60978</cdr:x>
      <cdr:y>0.93483</cdr:y>
    </cdr:to>
    <cdr:sp macro="" textlink="hiddenPage!$N$23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239357C1-CB08-426B-A395-39008F9F3DD1}"/>
            </a:ext>
          </a:extLst>
        </cdr:cNvPr>
        <cdr:cNvSpPr/>
      </cdr:nvSpPr>
      <cdr:spPr>
        <a:xfrm xmlns:a="http://schemas.openxmlformats.org/drawingml/2006/main">
          <a:off x="2390450" y="2525617"/>
          <a:ext cx="1912841" cy="225132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>
            <a:lumMod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fld id="{A30024D5-E9B9-4590-B6E9-99EBCADEAB94}" type="TxLink">
            <a:rPr lang="en-US" sz="1100" b="0" i="0" u="none" strike="noStrike">
              <a:solidFill>
                <a:schemeClr val="bg1"/>
              </a:solidFill>
              <a:latin typeface="Candara"/>
            </a:rPr>
            <a:pPr/>
            <a:t>Total  : lei 97,642 thousand</a:t>
          </a:fld>
          <a:endParaRPr lang="en-US" sz="1050">
            <a:solidFill>
              <a:schemeClr val="bg1"/>
            </a:solidFill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272142</xdr:colOff>
      <xdr:row>1</xdr:row>
      <xdr:rowOff>85530</xdr:rowOff>
    </xdr:from>
    <xdr:to>
      <xdr:col>8</xdr:col>
      <xdr:colOff>515289</xdr:colOff>
      <xdr:row>2</xdr:row>
      <xdr:rowOff>248135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656595-E61A-4A98-B409-483BC43CB07E}"/>
            </a:ext>
          </a:extLst>
        </xdr:cNvPr>
        <xdr:cNvSpPr/>
      </xdr:nvSpPr>
      <xdr:spPr>
        <a:xfrm>
          <a:off x="7277877" y="272142"/>
          <a:ext cx="865188" cy="271462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460376</xdr:colOff>
      <xdr:row>2</xdr:row>
      <xdr:rowOff>31751</xdr:rowOff>
    </xdr:from>
    <xdr:to>
      <xdr:col>21</xdr:col>
      <xdr:colOff>484189</xdr:colOff>
      <xdr:row>21</xdr:row>
      <xdr:rowOff>31750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10FE6C9-7B26-48D1-A0F9-5666FCF29B2A}"/>
            </a:ext>
          </a:extLst>
        </xdr:cNvPr>
        <xdr:cNvGrpSpPr/>
      </xdr:nvGrpSpPr>
      <xdr:grpSpPr>
        <a:xfrm>
          <a:off x="8024814" y="396876"/>
          <a:ext cx="5199063" cy="3865562"/>
          <a:chOff x="2409031" y="2093119"/>
          <a:chExt cx="4572000" cy="2978944"/>
        </a:xfrm>
        <a:solidFill>
          <a:schemeClr val="accent6">
            <a:lumMod val="20000"/>
            <a:lumOff val="80000"/>
          </a:schemeClr>
        </a:solidFill>
      </xdr:grpSpPr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C76D0260-CDB9-4BDA-BCA0-BBDC9FC1EC5D}"/>
              </a:ext>
            </a:extLst>
          </xdr:cNvPr>
          <xdr:cNvGraphicFramePr/>
        </xdr:nvGraphicFramePr>
        <xdr:xfrm>
          <a:off x="2409031" y="2093119"/>
          <a:ext cx="4572000" cy="29789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6" name="Straight Arrow Connector 5">
            <a:extLst>
              <a:ext uri="{FF2B5EF4-FFF2-40B4-BE49-F238E27FC236}">
                <a16:creationId xmlns:a16="http://schemas.microsoft.com/office/drawing/2014/main" id="{1F533A24-55F7-46CC-BB6C-EAD69DCABCD3}"/>
              </a:ext>
            </a:extLst>
          </xdr:cNvPr>
          <xdr:cNvCxnSpPr/>
        </xdr:nvCxnSpPr>
        <xdr:spPr>
          <a:xfrm>
            <a:off x="2743085" y="2617964"/>
            <a:ext cx="3806032" cy="0"/>
          </a:xfrm>
          <a:prstGeom prst="straightConnector1">
            <a:avLst/>
          </a:prstGeom>
          <a:grpFill/>
          <a:ln>
            <a:solidFill>
              <a:schemeClr val="bg2">
                <a:lumMod val="25000"/>
              </a:schemeClr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$S$4">
        <xdr:nvSpPr>
          <xdr:cNvPr id="7" name="Oval 6">
            <a:extLst>
              <a:ext uri="{FF2B5EF4-FFF2-40B4-BE49-F238E27FC236}">
                <a16:creationId xmlns:a16="http://schemas.microsoft.com/office/drawing/2014/main" id="{9F1A1300-B33A-4A6D-8492-66F860409F1C}"/>
              </a:ext>
            </a:extLst>
          </xdr:cNvPr>
          <xdr:cNvSpPr/>
        </xdr:nvSpPr>
        <xdr:spPr>
          <a:xfrm>
            <a:off x="4353471" y="2443548"/>
            <a:ext cx="506528" cy="351462"/>
          </a:xfrm>
          <a:prstGeom prst="ellipse">
            <a:avLst/>
          </a:prstGeom>
          <a:solidFill>
            <a:schemeClr val="bg2">
              <a:lumMod val="90000"/>
            </a:schemeClr>
          </a:solidFill>
          <a:ln>
            <a:solidFill>
              <a:schemeClr val="accent4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998E905F-E4FB-441B-B654-68C344773D5C}" type="TxLink">
              <a:rPr lang="en-US" sz="1100" b="0" i="0" u="none" strike="noStrike">
                <a:solidFill>
                  <a:srgbClr val="000000"/>
                </a:solidFill>
                <a:latin typeface="Candara" panose="020E0502030303020204" pitchFamily="34" charset="0"/>
                <a:cs typeface="Calibri"/>
              </a:rPr>
              <a:pPr algn="ctr"/>
              <a:t>7%</a:t>
            </a:fld>
            <a:endParaRPr lang="ro-RO" sz="1000">
              <a:latin typeface="Candara" panose="020E0502030303020204" pitchFamily="34" charset="0"/>
            </a:endParaRPr>
          </a:p>
        </xdr:txBody>
      </xdr:sp>
    </xdr:grpSp>
    <xdr:clientData/>
  </xdr:twoCellAnchor>
  <xdr:twoCellAnchor>
    <xdr:from>
      <xdr:col>22</xdr:col>
      <xdr:colOff>0</xdr:colOff>
      <xdr:row>2</xdr:row>
      <xdr:rowOff>0</xdr:rowOff>
    </xdr:from>
    <xdr:to>
      <xdr:col>23</xdr:col>
      <xdr:colOff>238125</xdr:colOff>
      <xdr:row>3</xdr:row>
      <xdr:rowOff>63499</xdr:rowOff>
    </xdr:to>
    <xdr:sp macro="" textlink="">
      <xdr:nvSpPr>
        <xdr:cNvPr id="9" name="Rectangle: Rounded Corners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BFAF22-F523-47D6-8B24-3FE5CA3892C7}"/>
            </a:ext>
          </a:extLst>
        </xdr:cNvPr>
        <xdr:cNvSpPr/>
      </xdr:nvSpPr>
      <xdr:spPr>
        <a:xfrm>
          <a:off x="13366750" y="381000"/>
          <a:ext cx="865188" cy="325437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618066</xdr:colOff>
      <xdr:row>0</xdr:row>
      <xdr:rowOff>143934</xdr:rowOff>
    </xdr:from>
    <xdr:to>
      <xdr:col>12</xdr:col>
      <xdr:colOff>230187</xdr:colOff>
      <xdr:row>1</xdr:row>
      <xdr:rowOff>164571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A1E3DF-0E48-49E1-A73C-91B3281B7E5C}"/>
            </a:ext>
          </a:extLst>
        </xdr:cNvPr>
        <xdr:cNvSpPr/>
      </xdr:nvSpPr>
      <xdr:spPr>
        <a:xfrm>
          <a:off x="14080066" y="143934"/>
          <a:ext cx="865188" cy="325437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493712</xdr:colOff>
      <xdr:row>2</xdr:row>
      <xdr:rowOff>15875</xdr:rowOff>
    </xdr:from>
    <xdr:to>
      <xdr:col>12</xdr:col>
      <xdr:colOff>731837</xdr:colOff>
      <xdr:row>2</xdr:row>
      <xdr:rowOff>341312</xdr:rowOff>
    </xdr:to>
    <xdr:sp macro="" textlink="">
      <xdr:nvSpPr>
        <xdr:cNvPr id="5" name="Rectangle: Rounded Corner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BE3B20-188E-4DB3-B459-3A3DF94548BC}"/>
            </a:ext>
          </a:extLst>
        </xdr:cNvPr>
        <xdr:cNvSpPr/>
      </xdr:nvSpPr>
      <xdr:spPr>
        <a:xfrm>
          <a:off x="8462962" y="388938"/>
          <a:ext cx="865188" cy="325437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13</xdr:col>
      <xdr:colOff>331788</xdr:colOff>
      <xdr:row>3</xdr:row>
      <xdr:rowOff>3703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3E7243-2A6B-4D6A-AF42-A44148477DE9}"/>
            </a:ext>
          </a:extLst>
        </xdr:cNvPr>
        <xdr:cNvSpPr/>
      </xdr:nvSpPr>
      <xdr:spPr>
        <a:xfrm>
          <a:off x="11684000" y="397933"/>
          <a:ext cx="865188" cy="325437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  <xdr:twoCellAnchor>
    <xdr:from>
      <xdr:col>17</xdr:col>
      <xdr:colOff>20319</xdr:colOff>
      <xdr:row>29</xdr:row>
      <xdr:rowOff>108797</xdr:rowOff>
    </xdr:from>
    <xdr:to>
      <xdr:col>24</xdr:col>
      <xdr:colOff>198119</xdr:colOff>
      <xdr:row>43</xdr:row>
      <xdr:rowOff>74930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C285990A-E346-412E-99E0-949F826DB9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0.06498</cdr:x>
      <cdr:y>0.83863</cdr:y>
    </cdr:from>
    <cdr:to>
      <cdr:x>0.39966</cdr:x>
      <cdr:y>0.83863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D460E22A-BF85-4D10-9627-525FD8EDAD8B}"/>
            </a:ext>
          </a:extLst>
        </cdr:cNvPr>
        <cdr:cNvCxnSpPr/>
      </cdr:nvCxnSpPr>
      <cdr:spPr>
        <a:xfrm xmlns:a="http://schemas.openxmlformats.org/drawingml/2006/main">
          <a:off x="304800" y="2300529"/>
          <a:ext cx="1569840" cy="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accent4">
              <a:lumMod val="40000"/>
              <a:lumOff val="6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0.05776</cdr:x>
      <cdr:y>0.86466</cdr:y>
    </cdr:from>
    <cdr:to>
      <cdr:x>0.50958</cdr:x>
      <cdr:y>0.96478</cdr:y>
    </cdr:to>
    <cdr:sp macro="" textlink="hiddenPage!$Q$60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3D245904-A993-4924-AAEA-E6108115BF35}"/>
            </a:ext>
          </a:extLst>
        </cdr:cNvPr>
        <cdr:cNvSpPr/>
      </cdr:nvSpPr>
      <cdr:spPr>
        <a:xfrm xmlns:a="http://schemas.openxmlformats.org/drawingml/2006/main">
          <a:off x="270933" y="2371936"/>
          <a:ext cx="2119281" cy="27465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  <a:ln xmlns:a="http://schemas.openxmlformats.org/drawingml/2006/main">
          <a:solidFill>
            <a:schemeClr val="accent6">
              <a:lumMod val="40000"/>
              <a:lumOff val="6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871C46CD-77DF-4A0E-979B-ABA5EFB031E0}" type="TxLink">
            <a:rPr lang="en-US" sz="1100" b="0" i="0" u="none" strike="noStrike">
              <a:solidFill>
                <a:srgbClr val="000000"/>
              </a:solidFill>
              <a:latin typeface="Candara"/>
            </a:rPr>
            <a:pPr algn="l"/>
            <a:t>Total :  lei 299,617 thousand</a:t>
          </a:fld>
          <a:endParaRPr 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375045</xdr:colOff>
      <xdr:row>5</xdr:row>
      <xdr:rowOff>170260</xdr:rowOff>
    </xdr:from>
    <xdr:to>
      <xdr:col>15</xdr:col>
      <xdr:colOff>226218</xdr:colOff>
      <xdr:row>23</xdr:row>
      <xdr:rowOff>44054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676B0C-B334-41B7-BBE4-1C24A66E35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357187</xdr:colOff>
      <xdr:row>23</xdr:row>
      <xdr:rowOff>170260</xdr:rowOff>
    </xdr:from>
    <xdr:to>
      <xdr:col>15</xdr:col>
      <xdr:colOff>202406</xdr:colOff>
      <xdr:row>38</xdr:row>
      <xdr:rowOff>175022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3B9A84D-9F40-402F-9E55-BA5A079EC4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618066</xdr:colOff>
      <xdr:row>2</xdr:row>
      <xdr:rowOff>152400</xdr:rowOff>
    </xdr:from>
    <xdr:to>
      <xdr:col>8</xdr:col>
      <xdr:colOff>856721</xdr:colOff>
      <xdr:row>4</xdr:row>
      <xdr:rowOff>34395</xdr:rowOff>
    </xdr:to>
    <xdr:sp macro="" textlink="">
      <xdr:nvSpPr>
        <xdr:cNvPr id="7" name="Rectangle: Rounded Corners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79DB8F1-FE7A-4130-B285-269A1AA1CF7B}"/>
            </a:ext>
          </a:extLst>
        </xdr:cNvPr>
        <xdr:cNvSpPr/>
      </xdr:nvSpPr>
      <xdr:spPr>
        <a:xfrm>
          <a:off x="10041466" y="152400"/>
          <a:ext cx="865188" cy="271462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10</xdr:col>
      <xdr:colOff>865188</xdr:colOff>
      <xdr:row>3</xdr:row>
      <xdr:rowOff>33337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9FAA96-CAB9-434F-A16E-6AA13A95A7E5}"/>
            </a:ext>
          </a:extLst>
        </xdr:cNvPr>
        <xdr:cNvSpPr/>
      </xdr:nvSpPr>
      <xdr:spPr>
        <a:xfrm>
          <a:off x="9247188" y="373063"/>
          <a:ext cx="865188" cy="271462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138112</xdr:rowOff>
    </xdr:from>
    <xdr:to>
      <xdr:col>7</xdr:col>
      <xdr:colOff>523875</xdr:colOff>
      <xdr:row>17</xdr:row>
      <xdr:rowOff>158750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D8FBFA-3C40-4BCF-A853-015D6F7565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34847</xdr:colOff>
      <xdr:row>2</xdr:row>
      <xdr:rowOff>98241</xdr:rowOff>
    </xdr:from>
    <xdr:to>
      <xdr:col>16</xdr:col>
      <xdr:colOff>119230</xdr:colOff>
      <xdr:row>18</xdr:row>
      <xdr:rowOff>4644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D16D11D-85A4-457E-9BDB-C75A67B1D9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517777</xdr:colOff>
      <xdr:row>21</xdr:row>
      <xdr:rowOff>81835</xdr:rowOff>
    </xdr:from>
    <xdr:to>
      <xdr:col>24</xdr:col>
      <xdr:colOff>260195</xdr:colOff>
      <xdr:row>37</xdr:row>
      <xdr:rowOff>55756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12D5C9EC-9367-462A-A782-7D2F4E65FD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277</xdr:colOff>
      <xdr:row>21</xdr:row>
      <xdr:rowOff>84214</xdr:rowOff>
    </xdr:from>
    <xdr:to>
      <xdr:col>12</xdr:col>
      <xdr:colOff>267164</xdr:colOff>
      <xdr:row>37</xdr:row>
      <xdr:rowOff>46462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3FF98DAD-3B59-4FDB-9787-C979A260FA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247184</xdr:colOff>
      <xdr:row>2</xdr:row>
      <xdr:rowOff>84564</xdr:rowOff>
    </xdr:from>
    <xdr:to>
      <xdr:col>24</xdr:col>
      <xdr:colOff>185854</xdr:colOff>
      <xdr:row>17</xdr:row>
      <xdr:rowOff>176561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745CEAF0-A8DF-4118-B35E-837870FCF0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321733</xdr:colOff>
      <xdr:row>2</xdr:row>
      <xdr:rowOff>101600</xdr:rowOff>
    </xdr:from>
    <xdr:to>
      <xdr:col>25</xdr:col>
      <xdr:colOff>560388</xdr:colOff>
      <xdr:row>4</xdr:row>
      <xdr:rowOff>127529</xdr:rowOff>
    </xdr:to>
    <xdr:sp macro="" textlink="">
      <xdr:nvSpPr>
        <xdr:cNvPr id="8" name="Rectangle: Rounded Corners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2934F80-E7BF-4679-8AFD-BAC17293F6BD}"/>
            </a:ext>
          </a:extLst>
        </xdr:cNvPr>
        <xdr:cNvSpPr/>
      </xdr:nvSpPr>
      <xdr:spPr>
        <a:xfrm>
          <a:off x="14647333" y="389467"/>
          <a:ext cx="865188" cy="271462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omcarbon.com/EN" TargetMode="External"/><Relationship Id="rId2" Type="http://schemas.openxmlformats.org/officeDocument/2006/relationships/hyperlink" Target="mailto:investor.relations@romcarbon.com" TargetMode="External"/><Relationship Id="rId1" Type="http://schemas.openxmlformats.org/officeDocument/2006/relationships/hyperlink" Target="http://www.romcarbon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Q34"/>
  <sheetViews>
    <sheetView showGridLines="0" tabSelected="1" zoomScaleNormal="100" workbookViewId="0">
      <selection activeCell="W5" sqref="W5"/>
    </sheetView>
  </sheetViews>
  <sheetFormatPr defaultColWidth="9.109375" defaultRowHeight="14.4" x14ac:dyDescent="0.3"/>
  <cols>
    <col min="1" max="1" width="11" style="65" customWidth="1"/>
    <col min="2" max="2" width="9.109375" style="65" customWidth="1"/>
    <col min="3" max="3" width="9.109375" style="65"/>
    <col min="4" max="4" width="3.6640625" style="65" customWidth="1"/>
    <col min="5" max="5" width="11.33203125" style="65" customWidth="1"/>
    <col min="6" max="15" width="9.109375" style="65"/>
    <col min="16" max="16" width="5.44140625" style="65" customWidth="1"/>
    <col min="17" max="18" width="9.109375" style="65"/>
    <col min="19" max="19" width="8" style="65" customWidth="1"/>
    <col min="20" max="20" width="7.6640625" style="65" customWidth="1"/>
    <col min="21" max="16384" width="9.109375" style="65"/>
  </cols>
  <sheetData>
    <row r="1" spans="1:17" ht="15" customHeight="1" x14ac:dyDescent="0.3">
      <c r="A1" s="64"/>
      <c r="B1" s="64"/>
      <c r="C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7" x14ac:dyDescent="0.3">
      <c r="B2" s="64"/>
      <c r="C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7" x14ac:dyDescent="0.3">
      <c r="A3" s="64"/>
      <c r="B3" s="64"/>
      <c r="C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7" x14ac:dyDescent="0.3">
      <c r="A4" s="64"/>
      <c r="B4" s="64"/>
      <c r="C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7" ht="9.75" customHeight="1" x14ac:dyDescent="0.3">
      <c r="A5" s="64"/>
      <c r="B5" s="64"/>
      <c r="C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1:17" ht="6" customHeight="1" x14ac:dyDescent="0.3">
      <c r="A6" s="64"/>
      <c r="B6" s="64"/>
      <c r="C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1:17" ht="16.5" customHeight="1" x14ac:dyDescent="0.3">
      <c r="A7" s="66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</row>
    <row r="8" spans="1:17" ht="21" x14ac:dyDescent="0.4">
      <c r="E8" s="217" t="s">
        <v>308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</row>
    <row r="9" spans="1:17" ht="14.25" customHeight="1" x14ac:dyDescent="0.45"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</row>
    <row r="10" spans="1:17" ht="18" x14ac:dyDescent="0.35">
      <c r="F10" s="67"/>
      <c r="G10" s="67"/>
      <c r="H10" s="67"/>
      <c r="I10" s="67"/>
      <c r="J10" s="67"/>
      <c r="K10" s="67"/>
      <c r="L10" s="67"/>
      <c r="M10" s="68"/>
      <c r="N10" s="67"/>
      <c r="O10" s="67"/>
      <c r="P10" s="68"/>
      <c r="Q10" s="69"/>
    </row>
    <row r="11" spans="1:17" ht="18" x14ac:dyDescent="0.35">
      <c r="F11" s="67"/>
      <c r="G11" s="67"/>
      <c r="H11" s="67"/>
      <c r="I11" s="67"/>
      <c r="J11" s="67"/>
      <c r="K11" s="67"/>
      <c r="L11" s="67"/>
      <c r="M11" s="67"/>
      <c r="P11" s="70"/>
      <c r="Q11" s="70"/>
    </row>
    <row r="12" spans="1:17" ht="18" x14ac:dyDescent="0.35">
      <c r="F12" s="67"/>
      <c r="G12" s="67"/>
      <c r="H12" s="67"/>
      <c r="I12" s="67"/>
      <c r="J12" s="67"/>
      <c r="K12" s="67"/>
      <c r="L12" s="67"/>
      <c r="M12" s="67"/>
      <c r="P12" s="67"/>
      <c r="Q12" s="69"/>
    </row>
    <row r="13" spans="1:17" ht="15" customHeight="1" x14ac:dyDescent="0.35">
      <c r="F13" s="67"/>
      <c r="G13" s="67"/>
      <c r="H13" s="67"/>
      <c r="I13" s="67"/>
      <c r="J13" s="67"/>
      <c r="K13" s="67"/>
      <c r="L13" s="67"/>
      <c r="M13" s="67"/>
      <c r="P13" s="67"/>
      <c r="Q13" s="69"/>
    </row>
    <row r="14" spans="1:17" ht="15" customHeight="1" x14ac:dyDescent="0.35">
      <c r="F14" s="67"/>
      <c r="G14" s="67"/>
      <c r="H14" s="67"/>
      <c r="I14" s="67"/>
      <c r="J14" s="67"/>
      <c r="K14" s="67"/>
      <c r="L14" s="67"/>
      <c r="M14" s="67"/>
      <c r="P14" s="67"/>
      <c r="Q14" s="69"/>
    </row>
    <row r="15" spans="1:17" ht="15" customHeight="1" x14ac:dyDescent="0.35">
      <c r="F15" s="67"/>
      <c r="G15" s="67"/>
      <c r="H15" s="67"/>
      <c r="I15" s="67"/>
      <c r="J15" s="67"/>
      <c r="K15" s="67"/>
      <c r="L15" s="67"/>
      <c r="M15" s="67"/>
      <c r="P15" s="67"/>
      <c r="Q15" s="69"/>
    </row>
    <row r="16" spans="1:17" ht="15" customHeight="1" x14ac:dyDescent="0.35">
      <c r="F16" s="67"/>
      <c r="G16" s="67"/>
      <c r="H16" s="67"/>
      <c r="I16" s="67"/>
      <c r="J16" s="67"/>
      <c r="K16" s="67"/>
      <c r="L16" s="67"/>
      <c r="M16" s="67"/>
      <c r="P16" s="67"/>
      <c r="Q16" s="69"/>
    </row>
    <row r="17" spans="5:17" ht="15" customHeight="1" x14ac:dyDescent="0.35">
      <c r="F17" s="67"/>
      <c r="G17" s="67"/>
      <c r="H17" s="67"/>
      <c r="I17" s="67"/>
      <c r="J17" s="67"/>
      <c r="K17" s="67"/>
      <c r="L17" s="67"/>
      <c r="M17" s="67"/>
      <c r="P17" s="67"/>
      <c r="Q17" s="69"/>
    </row>
    <row r="18" spans="5:17" ht="15" customHeight="1" x14ac:dyDescent="0.35">
      <c r="F18" s="67"/>
      <c r="G18" s="67"/>
      <c r="H18" s="67"/>
      <c r="I18" s="67"/>
      <c r="J18" s="67"/>
      <c r="K18" s="67"/>
      <c r="L18" s="67"/>
      <c r="M18" s="67"/>
      <c r="P18" s="67"/>
      <c r="Q18" s="69"/>
    </row>
    <row r="19" spans="5:17" ht="15" customHeight="1" x14ac:dyDescent="0.35">
      <c r="F19" s="67"/>
      <c r="G19" s="67"/>
      <c r="H19" s="67"/>
      <c r="I19" s="67"/>
      <c r="J19" s="67"/>
      <c r="K19" s="67"/>
      <c r="L19" s="67"/>
      <c r="M19" s="67"/>
      <c r="P19" s="67"/>
      <c r="Q19" s="69"/>
    </row>
    <row r="20" spans="5:17" ht="15" customHeight="1" x14ac:dyDescent="0.35">
      <c r="F20" s="67"/>
      <c r="G20" s="67"/>
      <c r="H20" s="67"/>
      <c r="I20" s="67"/>
      <c r="J20" s="67"/>
      <c r="K20" s="67"/>
      <c r="L20" s="67"/>
      <c r="M20" s="67"/>
      <c r="P20" s="67"/>
      <c r="Q20" s="69"/>
    </row>
    <row r="21" spans="5:17" ht="15" customHeight="1" x14ac:dyDescent="0.35">
      <c r="F21" s="67"/>
      <c r="G21" s="67"/>
      <c r="H21" s="67"/>
      <c r="I21" s="67"/>
      <c r="J21" s="67"/>
      <c r="K21" s="67"/>
      <c r="L21" s="67"/>
      <c r="M21" s="67"/>
      <c r="P21" s="67"/>
      <c r="Q21" s="69"/>
    </row>
    <row r="22" spans="5:17" ht="15" customHeight="1" x14ac:dyDescent="0.35"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8"/>
      <c r="Q22" s="69"/>
    </row>
    <row r="23" spans="5:17" ht="15" customHeight="1" x14ac:dyDescent="0.35"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8"/>
      <c r="Q23" s="69"/>
    </row>
    <row r="24" spans="5:17" ht="15" customHeight="1" x14ac:dyDescent="0.3">
      <c r="E24" s="221" t="s">
        <v>257</v>
      </c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</row>
    <row r="25" spans="5:17" ht="15" customHeight="1" x14ac:dyDescent="0.3">
      <c r="E25" s="216" t="s">
        <v>84</v>
      </c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</row>
    <row r="26" spans="5:17" ht="15" customHeight="1" x14ac:dyDescent="0.3">
      <c r="E26" s="222" t="s">
        <v>122</v>
      </c>
      <c r="F26" s="222"/>
      <c r="G26" s="222"/>
      <c r="H26" s="222"/>
      <c r="I26" s="222"/>
      <c r="J26" s="222"/>
      <c r="K26" s="222"/>
      <c r="L26" s="222"/>
      <c r="M26" s="222"/>
      <c r="N26" s="222"/>
      <c r="O26" s="72"/>
      <c r="P26" s="72"/>
      <c r="Q26" s="72"/>
    </row>
    <row r="27" spans="5:17" ht="9" customHeight="1" x14ac:dyDescent="0.3"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</row>
    <row r="28" spans="5:17" x14ac:dyDescent="0.3">
      <c r="E28" s="219"/>
      <c r="F28" s="219"/>
      <c r="G28" s="219"/>
      <c r="H28" s="219"/>
      <c r="I28" s="134"/>
      <c r="J28" s="134"/>
      <c r="K28" s="73"/>
      <c r="L28" s="73"/>
      <c r="M28" s="73"/>
      <c r="N28" s="216" t="s">
        <v>90</v>
      </c>
      <c r="O28" s="216"/>
      <c r="P28" s="216"/>
      <c r="Q28" s="216"/>
    </row>
    <row r="29" spans="5:17" x14ac:dyDescent="0.3">
      <c r="E29" s="219"/>
      <c r="F29" s="219"/>
      <c r="G29" s="219"/>
      <c r="H29" s="219"/>
      <c r="I29" s="134"/>
      <c r="J29" s="134"/>
      <c r="K29" s="74"/>
      <c r="L29" s="74"/>
      <c r="M29" s="74"/>
      <c r="N29" s="216" t="s">
        <v>94</v>
      </c>
      <c r="O29" s="216"/>
      <c r="P29" s="216"/>
      <c r="Q29" s="216"/>
    </row>
    <row r="30" spans="5:17" x14ac:dyDescent="0.3">
      <c r="E30" s="75"/>
      <c r="F30" s="75"/>
      <c r="G30" s="75"/>
      <c r="H30" s="75"/>
      <c r="I30" s="75"/>
      <c r="J30" s="75"/>
      <c r="K30" s="76"/>
      <c r="L30" s="76"/>
      <c r="M30" s="76"/>
      <c r="N30" s="131" t="s">
        <v>91</v>
      </c>
      <c r="O30" s="131"/>
      <c r="P30" s="131"/>
      <c r="Q30" s="131"/>
    </row>
    <row r="31" spans="5:17" x14ac:dyDescent="0.3">
      <c r="E31" s="75"/>
      <c r="F31" s="75"/>
      <c r="G31" s="75"/>
      <c r="H31" s="75"/>
      <c r="I31" s="75"/>
      <c r="J31" s="75"/>
      <c r="K31" s="76"/>
      <c r="L31" s="76"/>
      <c r="M31" s="76"/>
      <c r="N31" s="216" t="s">
        <v>92</v>
      </c>
      <c r="O31" s="216"/>
      <c r="P31" s="216"/>
      <c r="Q31" s="216"/>
    </row>
    <row r="32" spans="5:17" x14ac:dyDescent="0.3">
      <c r="E32" s="75"/>
      <c r="F32" s="75"/>
      <c r="G32" s="75"/>
      <c r="H32" s="75"/>
      <c r="I32" s="75"/>
      <c r="J32" s="75"/>
      <c r="K32" s="76"/>
      <c r="L32" s="76"/>
      <c r="M32" s="76"/>
      <c r="N32" s="215" t="s">
        <v>121</v>
      </c>
      <c r="O32" s="215"/>
      <c r="P32" s="215"/>
      <c r="Q32" s="215"/>
    </row>
    <row r="33" spans="5:17" x14ac:dyDescent="0.3">
      <c r="E33" s="75"/>
      <c r="F33" s="75"/>
      <c r="G33" s="75"/>
      <c r="H33" s="75"/>
      <c r="I33" s="75"/>
      <c r="J33" s="75"/>
      <c r="K33" s="76"/>
      <c r="L33" s="76"/>
      <c r="M33" s="76"/>
      <c r="N33" s="215" t="s">
        <v>93</v>
      </c>
      <c r="O33" s="215"/>
      <c r="P33" s="215"/>
      <c r="Q33" s="215"/>
    </row>
    <row r="34" spans="5:17" x14ac:dyDescent="0.3"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</row>
  </sheetData>
  <mergeCells count="12">
    <mergeCell ref="N32:Q32"/>
    <mergeCell ref="N33:Q33"/>
    <mergeCell ref="N31:Q31"/>
    <mergeCell ref="E8:Q8"/>
    <mergeCell ref="E9:Q9"/>
    <mergeCell ref="N29:Q29"/>
    <mergeCell ref="E28:H28"/>
    <mergeCell ref="E29:H29"/>
    <mergeCell ref="E25:Q25"/>
    <mergeCell ref="E24:Q24"/>
    <mergeCell ref="N28:Q28"/>
    <mergeCell ref="E26:N26"/>
  </mergeCells>
  <hyperlinks>
    <hyperlink ref="N32" r:id="rId1" xr:uid="{71673C88-5463-4161-83CF-CD9CF893B618}"/>
    <hyperlink ref="N33" r:id="rId2" xr:uid="{82F5B292-7BE3-40E1-A66D-AB909AD3CE02}"/>
    <hyperlink ref="N32:Q32" r:id="rId3" location="shares" display="www.romcarbon.com" xr:uid="{02F9AC0E-C59E-4B94-A68F-62D5310C64A0}"/>
  </hyperlink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15"/>
  <sheetViews>
    <sheetView showGridLines="0" zoomScale="98" zoomScaleNormal="98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N14" sqref="N14"/>
    </sheetView>
  </sheetViews>
  <sheetFormatPr defaultColWidth="9.109375" defaultRowHeight="14.4" x14ac:dyDescent="0.3"/>
  <cols>
    <col min="1" max="1" width="3.6640625" style="44" customWidth="1"/>
    <col min="2" max="2" width="58.33203125" style="44" customWidth="1"/>
    <col min="3" max="4" width="8.109375" style="44" bestFit="1" customWidth="1"/>
    <col min="5" max="5" width="8" style="44" bestFit="1" customWidth="1"/>
    <col min="6" max="6" width="7.6640625" style="44" bestFit="1" customWidth="1"/>
    <col min="7" max="7" width="8" style="44" bestFit="1" customWidth="1"/>
    <col min="8" max="16384" width="9.109375" style="44"/>
  </cols>
  <sheetData>
    <row r="1" spans="2:7" x14ac:dyDescent="0.3">
      <c r="F1" s="45" t="s">
        <v>156</v>
      </c>
      <c r="G1" s="46"/>
    </row>
    <row r="2" spans="2:7" ht="8.4" customHeight="1" thickBot="1" x14ac:dyDescent="0.35">
      <c r="F2" s="45"/>
      <c r="G2" s="46"/>
    </row>
    <row r="3" spans="2:7" s="47" customFormat="1" ht="21.75" customHeight="1" thickBot="1" x14ac:dyDescent="0.35">
      <c r="B3" s="151" t="s">
        <v>0</v>
      </c>
      <c r="C3" s="152">
        <f>Snapshots!D3</f>
        <v>2016</v>
      </c>
      <c r="D3" s="152">
        <f>Snapshots!E3</f>
        <v>2017</v>
      </c>
      <c r="E3" s="152">
        <f>Snapshots!F3</f>
        <v>2018</v>
      </c>
      <c r="F3" s="152">
        <f>Snapshots!G3</f>
        <v>2019</v>
      </c>
      <c r="G3" s="152">
        <f>Snapshots!H3</f>
        <v>2020</v>
      </c>
    </row>
    <row r="4" spans="2:7" x14ac:dyDescent="0.3">
      <c r="B4" s="48" t="s">
        <v>58</v>
      </c>
      <c r="C4" s="48">
        <f>'2.Comprehensive income'!C18</f>
        <v>3286</v>
      </c>
      <c r="D4" s="48">
        <f>'2.Comprehensive income'!D18</f>
        <v>-1565</v>
      </c>
      <c r="E4" s="48">
        <f>'2.Comprehensive income'!E18</f>
        <v>-4117</v>
      </c>
      <c r="F4" s="48">
        <f>'2.Comprehensive income'!F18</f>
        <v>-2617</v>
      </c>
      <c r="G4" s="153">
        <f>'2.Comprehensive income'!G18</f>
        <v>-84</v>
      </c>
    </row>
    <row r="5" spans="2:7" x14ac:dyDescent="0.3">
      <c r="B5" s="48" t="s">
        <v>59</v>
      </c>
      <c r="C5" s="48">
        <f>-'2.Comprehensive income'!C17</f>
        <v>270</v>
      </c>
      <c r="D5" s="48">
        <f>-'2.Comprehensive income'!D17</f>
        <v>1224</v>
      </c>
      <c r="E5" s="48">
        <f>-'2.Comprehensive income'!E17</f>
        <v>-189</v>
      </c>
      <c r="F5" s="48">
        <f>-'2.Comprehensive income'!F17</f>
        <v>274</v>
      </c>
      <c r="G5" s="153">
        <f>-'2.Comprehensive income'!G17</f>
        <v>268</v>
      </c>
    </row>
    <row r="6" spans="2:7" x14ac:dyDescent="0.3">
      <c r="B6" s="48" t="s">
        <v>60</v>
      </c>
      <c r="C6" s="48">
        <v>2657.2310000000002</v>
      </c>
      <c r="D6" s="48">
        <v>2336.4029999999998</v>
      </c>
      <c r="E6" s="48">
        <v>2517.683</v>
      </c>
      <c r="F6" s="48">
        <v>2099.6733565753425</v>
      </c>
      <c r="G6" s="153">
        <v>1789.19793</v>
      </c>
    </row>
    <row r="7" spans="2:7" x14ac:dyDescent="0.3">
      <c r="B7" s="49" t="s">
        <v>30</v>
      </c>
      <c r="C7" s="49">
        <f>C4+C5+C6</f>
        <v>6213.2309999999998</v>
      </c>
      <c r="D7" s="49">
        <f>D4+D5+D6</f>
        <v>1995.4029999999998</v>
      </c>
      <c r="E7" s="49">
        <f>E4+E5+E6</f>
        <v>-1788.317</v>
      </c>
      <c r="F7" s="49">
        <f>F4+F5+F6</f>
        <v>-243.3266434246575</v>
      </c>
      <c r="G7" s="154">
        <f>G4+G5+G6</f>
        <v>1973.19793</v>
      </c>
    </row>
    <row r="8" spans="2:7" x14ac:dyDescent="0.3">
      <c r="B8" s="48" t="s">
        <v>61</v>
      </c>
      <c r="C8" s="48">
        <v>14851.478999999999</v>
      </c>
      <c r="D8" s="48">
        <v>16226.423000000001</v>
      </c>
      <c r="E8" s="48">
        <v>16355.707</v>
      </c>
      <c r="F8" s="48">
        <v>16301.39401</v>
      </c>
      <c r="G8" s="153">
        <v>15272.030719999999</v>
      </c>
    </row>
    <row r="9" spans="2:7" x14ac:dyDescent="0.3">
      <c r="B9" s="48" t="s">
        <v>62</v>
      </c>
      <c r="C9" s="48">
        <v>3889.0790000000002</v>
      </c>
      <c r="D9" s="48">
        <v>3986.9250000000002</v>
      </c>
      <c r="E9" s="48">
        <v>3982.0369999999998</v>
      </c>
      <c r="F9" s="48">
        <v>3961.1155700000004</v>
      </c>
      <c r="G9" s="153">
        <v>3781.9513099999995</v>
      </c>
    </row>
    <row r="10" spans="2:7" x14ac:dyDescent="0.3">
      <c r="B10" s="49" t="s">
        <v>28</v>
      </c>
      <c r="C10" s="49">
        <f>C7+C8-C9</f>
        <v>17175.630999999998</v>
      </c>
      <c r="D10" s="49">
        <f>D7+D8-D9</f>
        <v>14234.901000000002</v>
      </c>
      <c r="E10" s="49">
        <f>E7+E8-E9</f>
        <v>10585.352999999999</v>
      </c>
      <c r="F10" s="49">
        <f>F7+F8-F9</f>
        <v>12096.951796575342</v>
      </c>
      <c r="G10" s="154">
        <f>G7+G8-G9</f>
        <v>13463.277339999997</v>
      </c>
    </row>
    <row r="13" spans="2:7" x14ac:dyDescent="0.3">
      <c r="B13" s="44" t="s">
        <v>96</v>
      </c>
    </row>
    <row r="15" spans="2:7" x14ac:dyDescent="0.3">
      <c r="B15" s="44" t="s">
        <v>26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C3E70-442B-4517-AA26-39466085205B}">
  <dimension ref="A1:AF66"/>
  <sheetViews>
    <sheetView showGridLines="0" topLeftCell="A43" workbookViewId="0">
      <selection activeCell="O26" sqref="O26"/>
    </sheetView>
  </sheetViews>
  <sheetFormatPr defaultColWidth="9.109375" defaultRowHeight="14.4" x14ac:dyDescent="0.3"/>
  <cols>
    <col min="1" max="1" width="22.6640625" style="19" customWidth="1"/>
    <col min="2" max="2" width="16.6640625" style="19" customWidth="1"/>
    <col min="3" max="3" width="17.5546875" style="19" customWidth="1"/>
    <col min="4" max="4" width="17.6640625" style="19" customWidth="1"/>
    <col min="5" max="5" width="14.109375" style="19" bestFit="1" customWidth="1"/>
    <col min="6" max="6" width="14.5546875" style="19" bestFit="1" customWidth="1"/>
    <col min="7" max="7" width="13.44140625" style="19" bestFit="1" customWidth="1"/>
    <col min="8" max="8" width="12.88671875" style="19" bestFit="1" customWidth="1"/>
    <col min="9" max="9" width="15" style="19" bestFit="1" customWidth="1"/>
    <col min="10" max="10" width="6.33203125" style="19" customWidth="1"/>
    <col min="11" max="11" width="4.33203125" style="19" customWidth="1"/>
    <col min="12" max="12" width="24.6640625" style="27" bestFit="1" customWidth="1"/>
    <col min="13" max="13" width="3" style="19" customWidth="1"/>
    <col min="14" max="14" width="9.109375" style="27"/>
    <col min="15" max="15" width="2.88671875" style="19" customWidth="1"/>
    <col min="16" max="16" width="12.33203125" style="19" customWidth="1"/>
    <col min="17" max="17" width="16.109375" style="19" bestFit="1" customWidth="1"/>
    <col min="18" max="18" width="24.6640625" style="19" bestFit="1" customWidth="1"/>
    <col min="19" max="19" width="3.33203125" style="19" customWidth="1"/>
    <col min="20" max="20" width="9.33203125" style="19" bestFit="1" customWidth="1"/>
    <col min="21" max="23" width="9.109375" style="19"/>
    <col min="24" max="24" width="9.109375" style="27"/>
    <col min="25" max="25" width="9.109375" style="19"/>
    <col min="26" max="26" width="3.5546875" style="19" customWidth="1"/>
    <col min="27" max="27" width="9.109375" style="19"/>
    <col min="28" max="28" width="20" style="19" bestFit="1" customWidth="1"/>
    <col min="29" max="29" width="33.44140625" style="19" customWidth="1"/>
    <col min="30" max="31" width="9.109375" style="19"/>
    <col min="32" max="32" width="32.88671875" style="19" customWidth="1"/>
    <col min="33" max="16384" width="9.109375" style="19"/>
  </cols>
  <sheetData>
    <row r="1" spans="1:32" x14ac:dyDescent="0.3">
      <c r="A1" s="21" t="str">
        <f>A4&amp;" vs. "&amp;A5</f>
        <v>Total current assets vs. Total current liabilities</v>
      </c>
      <c r="B1" s="21"/>
    </row>
    <row r="2" spans="1:32" x14ac:dyDescent="0.3">
      <c r="L2" s="27" t="s">
        <v>99</v>
      </c>
      <c r="N2" s="27" t="s">
        <v>100</v>
      </c>
      <c r="X2" s="27" t="s">
        <v>101</v>
      </c>
    </row>
    <row r="3" spans="1:32" x14ac:dyDescent="0.3">
      <c r="B3" s="23">
        <v>2016</v>
      </c>
      <c r="C3" s="23">
        <f>B3+1</f>
        <v>2017</v>
      </c>
      <c r="D3" s="23">
        <f t="shared" ref="D3:F3" si="0">C3+1</f>
        <v>2018</v>
      </c>
      <c r="E3" s="23">
        <f t="shared" si="0"/>
        <v>2019</v>
      </c>
      <c r="F3" s="23">
        <f t="shared" si="0"/>
        <v>2020</v>
      </c>
      <c r="G3" s="23"/>
      <c r="H3" s="23"/>
      <c r="L3" s="27" t="s">
        <v>3</v>
      </c>
      <c r="N3" s="27" t="s">
        <v>97</v>
      </c>
      <c r="P3" s="19">
        <v>1</v>
      </c>
      <c r="Q3" s="19" t="s">
        <v>98</v>
      </c>
      <c r="R3" s="19" t="s">
        <v>3</v>
      </c>
      <c r="S3" s="19" t="str">
        <f>IF(Q3=$A$8,P3,"")</f>
        <v/>
      </c>
      <c r="T3" s="19">
        <f>SMALL($S$3:$S$10,ROWS(S3:$S$3))</f>
        <v>7</v>
      </c>
      <c r="U3" s="19" t="str">
        <f>VLOOKUP(T3,$P$3:$R$10,3,0)</f>
        <v>Total liabilities</v>
      </c>
      <c r="X3" s="27" t="s">
        <v>102</v>
      </c>
      <c r="AA3" s="19">
        <v>1</v>
      </c>
      <c r="AB3" s="19" t="s">
        <v>102</v>
      </c>
      <c r="AC3" s="19" t="s">
        <v>1</v>
      </c>
      <c r="AD3" s="19" t="str">
        <f>IF(AB3=Charts!$F$20,hiddenPage!AA3,"")</f>
        <v/>
      </c>
      <c r="AE3" s="19">
        <f>SMALL($AD$3:$AD$35,ROWS($AD3:AD$3))</f>
        <v>8</v>
      </c>
      <c r="AF3" s="19" t="str">
        <f t="shared" ref="AF3:AF13" si="1">IF(ISERROR(VLOOKUP(AE3,$AA$3:$AC$40,3,0)),"",VLOOKUP(AE3,$AA$3:$AC$40,3,0))</f>
        <v>Current inventories</v>
      </c>
    </row>
    <row r="4" spans="1:32" x14ac:dyDescent="0.3">
      <c r="A4" s="22" t="str">
        <f>Charts!F2</f>
        <v>Total current assets</v>
      </c>
      <c r="B4" s="24">
        <f>SUMIF('1.FinancialPosition'!$B:$B,$A4,'1.FinancialPosition'!C:C)</f>
        <v>79815</v>
      </c>
      <c r="C4" s="24">
        <f>SUMIF('1.FinancialPosition'!$B:$B,$A4,'1.FinancialPosition'!D:D)</f>
        <v>81059</v>
      </c>
      <c r="D4" s="24">
        <f>SUMIF('1.FinancialPosition'!$B:$B,$A4,'1.FinancialPosition'!E:E)</f>
        <v>93635</v>
      </c>
      <c r="E4" s="24">
        <f>SUMIF('1.FinancialPosition'!$B:$B,$A4,'1.FinancialPosition'!F:F)</f>
        <v>100695</v>
      </c>
      <c r="F4" s="24">
        <f>SUMIF('1.FinancialPosition'!$B:$B,$A4,'1.FinancialPosition'!G:G)</f>
        <v>97642</v>
      </c>
      <c r="G4" s="24"/>
      <c r="H4" s="24"/>
      <c r="L4" s="27" t="s">
        <v>4</v>
      </c>
      <c r="N4" s="27" t="s">
        <v>98</v>
      </c>
      <c r="P4" s="19">
        <v>2</v>
      </c>
      <c r="Q4" s="19" t="s">
        <v>98</v>
      </c>
      <c r="R4" s="19" t="s">
        <v>4</v>
      </c>
      <c r="S4" s="19" t="str">
        <f t="shared" ref="S4:S10" si="2">IF(Q4=$A$8,P4,"")</f>
        <v/>
      </c>
      <c r="T4" s="19">
        <f>SMALL($S$3:$S$10,ROWS(S$3:$S4))</f>
        <v>8</v>
      </c>
      <c r="U4" s="19" t="str">
        <f t="shared" ref="U4:U10" si="3">VLOOKUP(T4,$P$3:$R$10,3,0)</f>
        <v>Total Equity</v>
      </c>
      <c r="X4" s="27" t="s">
        <v>87</v>
      </c>
      <c r="AA4" s="19">
        <f>AA3+1</f>
        <v>2</v>
      </c>
      <c r="AB4" s="19" t="s">
        <v>102</v>
      </c>
      <c r="AC4" s="19" t="s">
        <v>2</v>
      </c>
      <c r="AD4" s="19" t="str">
        <f>IF(AB4=Charts!$F$20,hiddenPage!AA4,"")</f>
        <v/>
      </c>
      <c r="AE4" s="19">
        <f>SMALL($AD$3:$AD$35,ROWS($AD$3:AD4))</f>
        <v>9</v>
      </c>
      <c r="AF4" s="19" t="str">
        <f t="shared" si="1"/>
        <v>Trade and other current receivables</v>
      </c>
    </row>
    <row r="5" spans="1:32" x14ac:dyDescent="0.3">
      <c r="A5" s="22" t="str">
        <f>Charts!F3</f>
        <v>Total current liabilities</v>
      </c>
      <c r="B5" s="24">
        <f>SUMIF('1.FinancialPosition'!$B:$B,$A5,'1.FinancialPosition'!C:C)</f>
        <v>94807</v>
      </c>
      <c r="C5" s="24">
        <f>SUMIF('1.FinancialPosition'!$B:$B,$A5,'1.FinancialPosition'!D:D)</f>
        <v>102347</v>
      </c>
      <c r="D5" s="24">
        <f>SUMIF('1.FinancialPosition'!$B:$B,$A5,'1.FinancialPosition'!E:E)</f>
        <v>95240</v>
      </c>
      <c r="E5" s="24">
        <f>SUMIF('1.FinancialPosition'!$B:$B,$A5,'1.FinancialPosition'!F:F)</f>
        <v>103905</v>
      </c>
      <c r="F5" s="24">
        <f>SUMIF('1.FinancialPosition'!$B:$B,$A5,'1.FinancialPosition'!G:G)</f>
        <v>93888</v>
      </c>
      <c r="G5" s="24"/>
      <c r="H5" s="24"/>
      <c r="L5" s="27" t="s">
        <v>5</v>
      </c>
      <c r="N5" s="27" t="s">
        <v>293</v>
      </c>
      <c r="P5" s="19">
        <v>3</v>
      </c>
      <c r="Q5" s="19" t="s">
        <v>97</v>
      </c>
      <c r="R5" s="19" t="s">
        <v>12</v>
      </c>
      <c r="S5" s="19" t="str">
        <f t="shared" si="2"/>
        <v/>
      </c>
      <c r="T5" s="19" t="e">
        <f>SMALL($S$3:$S$10,ROWS(S$3:$S5))</f>
        <v>#NUM!</v>
      </c>
      <c r="U5" s="19" t="e">
        <f t="shared" si="3"/>
        <v>#NUM!</v>
      </c>
      <c r="X5" s="27" t="s">
        <v>103</v>
      </c>
      <c r="AA5" s="19">
        <f t="shared" ref="AA5:AA36" si="4">AA4+1</f>
        <v>3</v>
      </c>
      <c r="AB5" s="19" t="s">
        <v>102</v>
      </c>
      <c r="AC5" s="19" t="s">
        <v>267</v>
      </c>
      <c r="AD5" s="19" t="str">
        <f>IF(AB5=Charts!$F$20,hiddenPage!AA5,"")</f>
        <v/>
      </c>
      <c r="AE5" s="19">
        <f>SMALL($AD$3:$AD$35,ROWS($AD$3:AD5))</f>
        <v>10</v>
      </c>
      <c r="AF5" s="19" t="str">
        <f t="shared" si="1"/>
        <v>Other current financial assets</v>
      </c>
    </row>
    <row r="6" spans="1:32" x14ac:dyDescent="0.3">
      <c r="L6" s="27" t="s">
        <v>9</v>
      </c>
      <c r="N6" s="27" t="s">
        <v>106</v>
      </c>
      <c r="P6" s="19">
        <v>4</v>
      </c>
      <c r="Q6" s="19" t="s">
        <v>97</v>
      </c>
      <c r="R6" s="19" t="s">
        <v>14</v>
      </c>
      <c r="S6" s="19" t="str">
        <f t="shared" si="2"/>
        <v/>
      </c>
      <c r="T6" s="19" t="e">
        <f>SMALL($S$3:$S$10,ROWS(S$3:$S6))</f>
        <v>#NUM!</v>
      </c>
      <c r="U6" s="19" t="e">
        <f t="shared" si="3"/>
        <v>#NUM!</v>
      </c>
      <c r="X6" s="27" t="s">
        <v>104</v>
      </c>
      <c r="AA6" s="19">
        <f t="shared" si="4"/>
        <v>4</v>
      </c>
      <c r="AB6" s="19" t="s">
        <v>102</v>
      </c>
      <c r="AC6" s="19" t="s">
        <v>268</v>
      </c>
      <c r="AD6" s="19" t="str">
        <f>IF(AB6=Charts!$F$20,hiddenPage!AA6,"")</f>
        <v/>
      </c>
      <c r="AE6" s="19">
        <f>SMALL($AD$3:$AD$35,ROWS($AD$3:AD6))</f>
        <v>11</v>
      </c>
      <c r="AF6" s="19" t="str">
        <f t="shared" si="1"/>
        <v>Other current non-financial assets</v>
      </c>
    </row>
    <row r="7" spans="1:32" x14ac:dyDescent="0.3">
      <c r="A7" s="21" t="str">
        <f>A10&amp;" vs. "&amp;A11</f>
        <v>Total liabilities vs. Total Equity</v>
      </c>
      <c r="B7" s="21"/>
      <c r="C7" s="21"/>
      <c r="D7" s="20" t="str">
        <f>I9&amp;" structure of "&amp;A8</f>
        <v>2020 structure of Equity&amp;Liabilities</v>
      </c>
      <c r="E7" s="20"/>
      <c r="L7" s="27" t="s">
        <v>12</v>
      </c>
      <c r="P7" s="19">
        <v>5</v>
      </c>
      <c r="Q7" s="19" t="s">
        <v>293</v>
      </c>
      <c r="R7" s="19" t="s">
        <v>281</v>
      </c>
      <c r="S7" s="19" t="str">
        <f t="shared" si="2"/>
        <v/>
      </c>
      <c r="T7" s="19" t="e">
        <f>SMALL($S$3:$S$10,ROWS(S$3:$S7))</f>
        <v>#NUM!</v>
      </c>
      <c r="U7" s="19" t="e">
        <f t="shared" si="3"/>
        <v>#NUM!</v>
      </c>
      <c r="X7" s="27" t="s">
        <v>105</v>
      </c>
      <c r="AA7" s="19">
        <f t="shared" si="4"/>
        <v>5</v>
      </c>
      <c r="AB7" s="19" t="s">
        <v>102</v>
      </c>
      <c r="AC7" s="19" t="s">
        <v>269</v>
      </c>
      <c r="AD7" s="19" t="str">
        <f>IF(AB7=Charts!$F$20,hiddenPage!AA7,"")</f>
        <v/>
      </c>
      <c r="AE7" s="19">
        <f>SMALL($AD$3:$AD$35,ROWS($AD$3:AD7))</f>
        <v>12</v>
      </c>
      <c r="AF7" s="19" t="str">
        <f t="shared" si="1"/>
        <v>Cash and cash equivalents</v>
      </c>
    </row>
    <row r="8" spans="1:32" x14ac:dyDescent="0.3">
      <c r="A8" s="19" t="str">
        <f>Charts!N2</f>
        <v>Equity&amp;Liabilities</v>
      </c>
      <c r="B8" s="19">
        <f>IF(B9=Charts!$T$2,1,0)</f>
        <v>0</v>
      </c>
      <c r="C8" s="19">
        <f>IF(C9=Charts!$T$2,1,0)</f>
        <v>0</v>
      </c>
      <c r="D8" s="19">
        <f>IF(D9=Charts!$T$2,1,0)</f>
        <v>0</v>
      </c>
      <c r="E8" s="19">
        <f>IF(E9=Charts!$T$2,1,0)</f>
        <v>0</v>
      </c>
      <c r="F8" s="19">
        <f>IF(F9=Charts!$T$2,1,0)</f>
        <v>1</v>
      </c>
      <c r="L8" s="27" t="s">
        <v>14</v>
      </c>
      <c r="P8" s="19">
        <v>6</v>
      </c>
      <c r="Q8" s="19" t="s">
        <v>293</v>
      </c>
      <c r="R8" s="19" t="s">
        <v>284</v>
      </c>
      <c r="S8" s="19" t="str">
        <f t="shared" si="2"/>
        <v/>
      </c>
      <c r="T8" s="19" t="e">
        <f>SMALL($S$3:$S$10,ROWS(S$3:$S8))</f>
        <v>#NUM!</v>
      </c>
      <c r="U8" s="19" t="e">
        <f t="shared" si="3"/>
        <v>#NUM!</v>
      </c>
      <c r="AA8" s="19">
        <f t="shared" si="4"/>
        <v>6</v>
      </c>
      <c r="AB8" s="19" t="s">
        <v>102</v>
      </c>
      <c r="AC8" s="19" t="s">
        <v>270</v>
      </c>
      <c r="AD8" s="19" t="str">
        <f>IF(AB8=Charts!$F$20,hiddenPage!AA8,"")</f>
        <v/>
      </c>
      <c r="AE8" s="19">
        <f>SMALL($AD$3:$AD$35,ROWS($AD$3:AD8))</f>
        <v>13</v>
      </c>
      <c r="AF8" s="19" t="str">
        <f t="shared" si="1"/>
        <v>Non-current assets or disposal groups classified as held for sale or as held for distribution to owners</v>
      </c>
    </row>
    <row r="9" spans="1:32" x14ac:dyDescent="0.3">
      <c r="B9" s="23">
        <f>B3</f>
        <v>2016</v>
      </c>
      <c r="C9" s="23">
        <f t="shared" ref="C9:F9" si="5">C3</f>
        <v>2017</v>
      </c>
      <c r="D9" s="23">
        <f t="shared" si="5"/>
        <v>2018</v>
      </c>
      <c r="E9" s="23">
        <f t="shared" si="5"/>
        <v>2019</v>
      </c>
      <c r="F9" s="23">
        <f t="shared" si="5"/>
        <v>2020</v>
      </c>
      <c r="G9" s="23"/>
      <c r="H9" s="23"/>
      <c r="I9" s="23">
        <f>Charts!T2</f>
        <v>2020</v>
      </c>
      <c r="L9" s="27" t="s">
        <v>15</v>
      </c>
      <c r="P9" s="19">
        <v>7</v>
      </c>
      <c r="Q9" s="19" t="s">
        <v>106</v>
      </c>
      <c r="R9" s="19" t="s">
        <v>15</v>
      </c>
      <c r="S9" s="19">
        <f t="shared" si="2"/>
        <v>7</v>
      </c>
      <c r="T9" s="19" t="e">
        <f>SMALL($S$3:$S$10,ROWS(S$3:$S9))</f>
        <v>#NUM!</v>
      </c>
      <c r="U9" s="19" t="e">
        <f t="shared" si="3"/>
        <v>#NUM!</v>
      </c>
      <c r="AA9" s="19">
        <f t="shared" si="4"/>
        <v>7</v>
      </c>
      <c r="AB9" s="19" t="s">
        <v>102</v>
      </c>
      <c r="AC9" s="19" t="s">
        <v>271</v>
      </c>
      <c r="AD9" s="19" t="str">
        <f>IF(AB9=Charts!$F$20,hiddenPage!AA9,"")</f>
        <v/>
      </c>
      <c r="AE9" s="19" t="e">
        <f>SMALL($AD$3:$AD$35,ROWS($AD$3:AD9))</f>
        <v>#NUM!</v>
      </c>
      <c r="AF9" s="19" t="str">
        <f t="shared" si="1"/>
        <v/>
      </c>
    </row>
    <row r="10" spans="1:32" x14ac:dyDescent="0.3">
      <c r="A10" s="22" t="str">
        <f>U3</f>
        <v>Total liabilities</v>
      </c>
      <c r="B10" s="24">
        <f>SUMIF('1.FinancialPosition'!$B:$B,$A10,'1.FinancialPosition'!C:C)</f>
        <v>198833</v>
      </c>
      <c r="C10" s="24">
        <f>SUMIF('1.FinancialPosition'!$B:$B,$A10,'1.FinancialPosition'!D:D)</f>
        <v>196208</v>
      </c>
      <c r="D10" s="24">
        <f>SUMIF('1.FinancialPosition'!$B:$B,$A10,'1.FinancialPosition'!E:E)</f>
        <v>168993</v>
      </c>
      <c r="E10" s="24">
        <f>SUMIF('1.FinancialPosition'!$B:$B,$A10,'1.FinancialPosition'!F:F)</f>
        <v>159538</v>
      </c>
      <c r="F10" s="24">
        <f>SUMIF('1.FinancialPosition'!$B:$B,$A10,'1.FinancialPosition'!G:G)</f>
        <v>139805</v>
      </c>
      <c r="G10" s="24"/>
      <c r="H10" s="24"/>
      <c r="I10" s="24">
        <f>SUMPRODUCT(B10:H10,$B$8:$H$8)</f>
        <v>139805</v>
      </c>
      <c r="L10" s="27" t="s">
        <v>16</v>
      </c>
      <c r="P10" s="19">
        <v>8</v>
      </c>
      <c r="Q10" s="19" t="s">
        <v>106</v>
      </c>
      <c r="R10" s="19" t="s">
        <v>9</v>
      </c>
      <c r="S10" s="19">
        <f t="shared" si="2"/>
        <v>8</v>
      </c>
      <c r="T10" s="19" t="e">
        <f>SMALL($S$3:$S$10,ROWS(S$3:$S10))</f>
        <v>#NUM!</v>
      </c>
      <c r="U10" s="19" t="e">
        <f t="shared" si="3"/>
        <v>#NUM!</v>
      </c>
      <c r="AA10" s="19">
        <f t="shared" si="4"/>
        <v>8</v>
      </c>
      <c r="AB10" s="19" t="s">
        <v>87</v>
      </c>
      <c r="AC10" s="19" t="s">
        <v>273</v>
      </c>
      <c r="AD10" s="19">
        <f>IF(AB10=Charts!$F$20,hiddenPage!AA10,"")</f>
        <v>8</v>
      </c>
      <c r="AE10" s="19" t="e">
        <f>SMALL($AD$3:$AD$35,ROWS($AD$3:AD10))</f>
        <v>#NUM!</v>
      </c>
      <c r="AF10" s="19" t="str">
        <f t="shared" si="1"/>
        <v/>
      </c>
    </row>
    <row r="11" spans="1:32" x14ac:dyDescent="0.3">
      <c r="A11" s="22" t="str">
        <f>U4</f>
        <v>Total Equity</v>
      </c>
      <c r="B11" s="24">
        <f>SUMIF('1.FinancialPosition'!$B:$B,$A11,'1.FinancialPosition'!C:C)</f>
        <v>151063</v>
      </c>
      <c r="C11" s="24">
        <f>SUMIF('1.FinancialPosition'!$B:$B,$A11,'1.FinancialPosition'!D:D)</f>
        <v>147445</v>
      </c>
      <c r="D11" s="24">
        <f>SUMIF('1.FinancialPosition'!$B:$B,$A11,'1.FinancialPosition'!E:E)</f>
        <v>142568</v>
      </c>
      <c r="E11" s="24">
        <f>SUMIF('1.FinancialPosition'!$B:$B,$A11,'1.FinancialPosition'!F:F)</f>
        <v>139561</v>
      </c>
      <c r="F11" s="24">
        <f>SUMIF('1.FinancialPosition'!$B:$B,$A11,'1.FinancialPosition'!G:G)</f>
        <v>139712</v>
      </c>
      <c r="G11" s="24"/>
      <c r="H11" s="24"/>
      <c r="I11" s="24">
        <f>SUMPRODUCT(B11:H11,$B$8:$H$8)</f>
        <v>139712</v>
      </c>
      <c r="L11" s="27" t="s">
        <v>10</v>
      </c>
      <c r="AA11" s="19">
        <f t="shared" si="4"/>
        <v>9</v>
      </c>
      <c r="AB11" s="19" t="s">
        <v>87</v>
      </c>
      <c r="AC11" s="19" t="s">
        <v>274</v>
      </c>
      <c r="AD11" s="19">
        <f>IF(AB11=Charts!$F$20,hiddenPage!AA11,"")</f>
        <v>9</v>
      </c>
      <c r="AE11" s="19" t="e">
        <f>SMALL($AD$3:$AD$35,ROWS($AD$3:AD11))</f>
        <v>#NUM!</v>
      </c>
      <c r="AF11" s="19" t="str">
        <f t="shared" si="1"/>
        <v/>
      </c>
    </row>
    <row r="12" spans="1:32" x14ac:dyDescent="0.3">
      <c r="B12" s="30">
        <f>B10+B11</f>
        <v>349896</v>
      </c>
      <c r="C12" s="30">
        <f t="shared" ref="C12:F12" si="6">C10+C11</f>
        <v>343653</v>
      </c>
      <c r="D12" s="30">
        <f t="shared" si="6"/>
        <v>311561</v>
      </c>
      <c r="E12" s="30">
        <f t="shared" si="6"/>
        <v>299099</v>
      </c>
      <c r="F12" s="30">
        <f t="shared" si="6"/>
        <v>279517</v>
      </c>
      <c r="L12" s="27" t="s">
        <v>13</v>
      </c>
      <c r="AA12" s="19">
        <f t="shared" si="4"/>
        <v>10</v>
      </c>
      <c r="AB12" s="19" t="s">
        <v>87</v>
      </c>
      <c r="AC12" s="19" t="s">
        <v>264</v>
      </c>
      <c r="AD12" s="19">
        <f>IF(AB12=Charts!$F$20,hiddenPage!AA12,"")</f>
        <v>10</v>
      </c>
      <c r="AE12" s="19" t="e">
        <f>SMALL($AD$3:$AD$35,ROWS($AD$3:AD12))</f>
        <v>#NUM!</v>
      </c>
      <c r="AF12" s="19" t="str">
        <f t="shared" si="1"/>
        <v/>
      </c>
    </row>
    <row r="13" spans="1:32" x14ac:dyDescent="0.3">
      <c r="A13" s="19" t="str">
        <f>"Structure of "&amp;Charts!F20&amp;" in "&amp;Charts!F21</f>
        <v>Structure of Current assets in 2020</v>
      </c>
      <c r="AA13" s="19">
        <f t="shared" si="4"/>
        <v>11</v>
      </c>
      <c r="AB13" s="19" t="s">
        <v>87</v>
      </c>
      <c r="AC13" s="19" t="s">
        <v>275</v>
      </c>
      <c r="AD13" s="19">
        <f>IF(AB13=Charts!$F$20,hiddenPage!AA13,"")</f>
        <v>11</v>
      </c>
      <c r="AE13" s="19" t="e">
        <f>SMALL($AD$3:$AD$35,ROWS($AD$3:AD13))</f>
        <v>#NUM!</v>
      </c>
      <c r="AF13" s="19" t="str">
        <f t="shared" si="1"/>
        <v/>
      </c>
    </row>
    <row r="14" spans="1:32" x14ac:dyDescent="0.3">
      <c r="B14" s="19">
        <f>IF(Charts!$F$21=B15,1,0)</f>
        <v>0</v>
      </c>
      <c r="C14" s="19">
        <f>IF(Charts!$F$21=C15,1,0)</f>
        <v>0</v>
      </c>
      <c r="D14" s="19">
        <f>IF(Charts!$F$21=D15,1,0)</f>
        <v>0</v>
      </c>
      <c r="E14" s="19">
        <f>IF(Charts!$F$21=E15,1,0)</f>
        <v>0</v>
      </c>
      <c r="F14" s="19">
        <f>IF(Charts!$F$21=F15,1,0)</f>
        <v>1</v>
      </c>
      <c r="G14" s="19">
        <f>IF(Charts!$F$21=G15,1,0)</f>
        <v>0</v>
      </c>
      <c r="H14" s="19">
        <f>IF(Charts!$F$21=H15,1,0)</f>
        <v>0</v>
      </c>
      <c r="AA14" s="19">
        <f t="shared" si="4"/>
        <v>12</v>
      </c>
      <c r="AB14" s="19" t="s">
        <v>87</v>
      </c>
      <c r="AC14" s="19" t="s">
        <v>276</v>
      </c>
      <c r="AD14" s="19">
        <f>IF(AB14=Charts!$F$20,hiddenPage!AA14,"")</f>
        <v>12</v>
      </c>
      <c r="AE14" s="19" t="e">
        <f>SMALL($AD$3:$AD$35,ROWS($AD$3:AD14))</f>
        <v>#NUM!</v>
      </c>
    </row>
    <row r="15" spans="1:32" x14ac:dyDescent="0.3">
      <c r="A15" s="21"/>
      <c r="B15" s="34">
        <f>B9</f>
        <v>2016</v>
      </c>
      <c r="C15" s="34">
        <f t="shared" ref="C15:F15" si="7">C9</f>
        <v>2017</v>
      </c>
      <c r="D15" s="34">
        <f t="shared" si="7"/>
        <v>2018</v>
      </c>
      <c r="E15" s="34">
        <f t="shared" si="7"/>
        <v>2019</v>
      </c>
      <c r="F15" s="34">
        <f t="shared" si="7"/>
        <v>2020</v>
      </c>
      <c r="G15" s="34"/>
      <c r="H15" s="34"/>
      <c r="I15" s="28" t="s">
        <v>114</v>
      </c>
      <c r="J15" s="28" t="s">
        <v>115</v>
      </c>
      <c r="K15" s="28"/>
      <c r="L15" s="27" t="s">
        <v>116</v>
      </c>
      <c r="M15" s="28"/>
      <c r="N15" s="6" t="s">
        <v>117</v>
      </c>
      <c r="O15" s="6"/>
      <c r="P15" s="6"/>
      <c r="Q15" s="6" t="s">
        <v>118</v>
      </c>
      <c r="R15" s="6" t="s">
        <v>119</v>
      </c>
      <c r="AA15" s="19">
        <f t="shared" si="4"/>
        <v>13</v>
      </c>
      <c r="AB15" s="19" t="s">
        <v>87</v>
      </c>
      <c r="AC15" s="19" t="s">
        <v>277</v>
      </c>
      <c r="AD15" s="19">
        <f>IF(AB15=Charts!$F$20,hiddenPage!AA15,"")</f>
        <v>13</v>
      </c>
      <c r="AE15" s="19" t="e">
        <f>SMALL($AD$3:$AD$35,ROWS($AD$3:AD15))</f>
        <v>#NUM!</v>
      </c>
      <c r="AF15" s="19" t="str">
        <f>IF(ISERROR(VLOOKUP(AE15,$AA$3:$AC$40,3,0)),"",VLOOKUP(AE15,$AA$3:$AC$40,3,0))</f>
        <v/>
      </c>
    </row>
    <row r="16" spans="1:32" x14ac:dyDescent="0.3">
      <c r="A16" s="21" t="str">
        <f>AF3</f>
        <v>Current inventories</v>
      </c>
      <c r="B16" s="35">
        <f>SUMIF('1.FinancialPosition'!$B:$B,$A16,'1.FinancialPosition'!C:C)</f>
        <v>37171</v>
      </c>
      <c r="C16" s="35">
        <f>SUMIF('1.FinancialPosition'!$B:$B,$A16,'1.FinancialPosition'!D:D)</f>
        <v>38234</v>
      </c>
      <c r="D16" s="35">
        <f>SUMIF('1.FinancialPosition'!$B:$B,$A16,'1.FinancialPosition'!E:E)</f>
        <v>36548</v>
      </c>
      <c r="E16" s="35">
        <f>SUMIF('1.FinancialPosition'!$B:$B,$A16,'1.FinancialPosition'!F:F)</f>
        <v>45929</v>
      </c>
      <c r="F16" s="35">
        <f>SUMIF('1.FinancialPosition'!$B:$B,$A16,'1.FinancialPosition'!G:G)</f>
        <v>39279</v>
      </c>
      <c r="G16" s="35"/>
      <c r="H16" s="35"/>
      <c r="I16" s="37">
        <f>SUMPRODUCT($B$14:$H$14,B16:H16)</f>
        <v>39279</v>
      </c>
      <c r="J16" s="38">
        <f>RANK(I16,$I$16:$I$22,0)+COUNTIF($I16:I$22,I16)-1</f>
        <v>1</v>
      </c>
      <c r="K16" s="28"/>
      <c r="L16" s="27">
        <v>1</v>
      </c>
      <c r="M16" s="28"/>
      <c r="N16" s="6" t="str">
        <f>INDEX($A$16:$A$22,MATCH(L16,$J$16:$J$22,0))</f>
        <v>Current inventories</v>
      </c>
      <c r="O16" s="6"/>
      <c r="P16" s="6"/>
      <c r="Q16" s="39">
        <f>SUMIF($A$16:$A$22,N16,$I$16:$I$22)</f>
        <v>39279</v>
      </c>
      <c r="R16" s="40">
        <f>Q16/$Q$23</f>
        <v>0.40227566006431659</v>
      </c>
      <c r="AA16" s="19">
        <f t="shared" si="4"/>
        <v>14</v>
      </c>
      <c r="AB16" s="19" t="s">
        <v>105</v>
      </c>
      <c r="AC16" s="19" t="s">
        <v>6</v>
      </c>
      <c r="AD16" s="19" t="str">
        <f>IF(AB16=Charts!$F$20,hiddenPage!AA16,"")</f>
        <v/>
      </c>
      <c r="AE16" s="19" t="e">
        <f>SMALL($AD$3:$AD$35,ROWS($AD$3:AD16))</f>
        <v>#NUM!</v>
      </c>
    </row>
    <row r="17" spans="1:32" x14ac:dyDescent="0.3">
      <c r="A17" s="21" t="str">
        <f t="shared" ref="A17:A22" si="8">AF4</f>
        <v>Trade and other current receivables</v>
      </c>
      <c r="B17" s="35">
        <f>SUMIF('1.FinancialPosition'!$B:$B,$A17,'1.FinancialPosition'!C:C)</f>
        <v>29728</v>
      </c>
      <c r="C17" s="35">
        <f>SUMIF('1.FinancialPosition'!$B:$B,$A17,'1.FinancialPosition'!D:D)</f>
        <v>36237</v>
      </c>
      <c r="D17" s="35">
        <f>SUMIF('1.FinancialPosition'!$B:$B,$A17,'1.FinancialPosition'!E:E)</f>
        <v>30295</v>
      </c>
      <c r="E17" s="35">
        <f>SUMIF('1.FinancialPosition'!$B:$B,$A17,'1.FinancialPosition'!F:F)</f>
        <v>34266</v>
      </c>
      <c r="F17" s="35">
        <f>SUMIF('1.FinancialPosition'!$B:$B,$A17,'1.FinancialPosition'!G:G)</f>
        <v>36190</v>
      </c>
      <c r="G17" s="35"/>
      <c r="H17" s="35"/>
      <c r="I17" s="37">
        <f t="shared" ref="I17:I22" si="9">SUMPRODUCT($B$14:$H$14,B17:H17)</f>
        <v>36190</v>
      </c>
      <c r="J17" s="38">
        <f>RANK(I17,$I$16:$I$22,0)+COUNTIF($I17:I$22,I17)-1</f>
        <v>2</v>
      </c>
      <c r="K17" s="28"/>
      <c r="L17" s="27">
        <v>2</v>
      </c>
      <c r="M17" s="28"/>
      <c r="N17" s="6" t="str">
        <f t="shared" ref="N17:N22" si="10">INDEX($A$16:$A$22,MATCH(L17,$J$16:$J$22,0))</f>
        <v>Trade and other current receivables</v>
      </c>
      <c r="O17" s="6"/>
      <c r="P17" s="6"/>
      <c r="Q17" s="39">
        <f t="shared" ref="Q17:Q22" si="11">SUMIF($A$16:$A$22,N17,$I$16:$I$22)</f>
        <v>36190</v>
      </c>
      <c r="R17" s="40">
        <f t="shared" ref="R17:R22" si="12">Q17/$Q$23</f>
        <v>0.37063968374265172</v>
      </c>
      <c r="AA17" s="19">
        <f t="shared" si="4"/>
        <v>15</v>
      </c>
      <c r="AB17" s="19" t="s">
        <v>105</v>
      </c>
      <c r="AC17" s="19" t="s">
        <v>7</v>
      </c>
      <c r="AD17" s="19" t="str">
        <f>IF(AB17=Charts!$F$20,hiddenPage!AA17,"")</f>
        <v/>
      </c>
      <c r="AE17" s="19" t="e">
        <f>SMALL($AD$3:$AD$35,ROWS($AD$3:AD17))</f>
        <v>#NUM!</v>
      </c>
    </row>
    <row r="18" spans="1:32" x14ac:dyDescent="0.3">
      <c r="A18" s="21" t="str">
        <f t="shared" si="8"/>
        <v>Other current financial assets</v>
      </c>
      <c r="B18" s="35">
        <f>SUMIF('1.FinancialPosition'!$B:$B,$A18,'1.FinancialPosition'!C:C)</f>
        <v>0</v>
      </c>
      <c r="C18" s="35">
        <f>SUMIF('1.FinancialPosition'!$B:$B,$A18,'1.FinancialPosition'!D:D)</f>
        <v>0</v>
      </c>
      <c r="D18" s="35">
        <f>SUMIF('1.FinancialPosition'!$B:$B,$A18,'1.FinancialPosition'!E:E)</f>
        <v>0</v>
      </c>
      <c r="E18" s="35">
        <f>SUMIF('1.FinancialPosition'!$B:$B,$A18,'1.FinancialPosition'!F:F)</f>
        <v>2390</v>
      </c>
      <c r="F18" s="35">
        <f>SUMIF('1.FinancialPosition'!$B:$B,$A18,'1.FinancialPosition'!G:G)</f>
        <v>181</v>
      </c>
      <c r="G18" s="35"/>
      <c r="H18" s="35"/>
      <c r="I18" s="37">
        <f t="shared" si="9"/>
        <v>181</v>
      </c>
      <c r="J18" s="38">
        <f>RANK(I18,$I$16:$I$22,0)+COUNTIF($I18:I$22,I18)-1</f>
        <v>5</v>
      </c>
      <c r="K18" s="28"/>
      <c r="L18" s="27">
        <v>3</v>
      </c>
      <c r="M18" s="28"/>
      <c r="N18" s="6" t="str">
        <f t="shared" si="10"/>
        <v>Cash and cash equivalents</v>
      </c>
      <c r="O18" s="6"/>
      <c r="P18" s="6"/>
      <c r="Q18" s="39">
        <f t="shared" si="11"/>
        <v>20705</v>
      </c>
      <c r="R18" s="40">
        <f t="shared" si="12"/>
        <v>0.21205014235677269</v>
      </c>
      <c r="AA18" s="19">
        <f t="shared" si="4"/>
        <v>16</v>
      </c>
      <c r="AB18" s="19" t="s">
        <v>105</v>
      </c>
      <c r="AC18" s="19" t="s">
        <v>278</v>
      </c>
      <c r="AD18" s="19" t="str">
        <f>IF(AB18=Charts!$F$20,hiddenPage!AA18,"")</f>
        <v/>
      </c>
      <c r="AE18" s="19" t="e">
        <f>SMALL($AD$3:$AD$35,ROWS($AD$3:AD18))</f>
        <v>#NUM!</v>
      </c>
    </row>
    <row r="19" spans="1:32" x14ac:dyDescent="0.3">
      <c r="A19" s="21" t="str">
        <f t="shared" si="8"/>
        <v>Other current non-financial assets</v>
      </c>
      <c r="B19" s="35">
        <f>SUMIF('1.FinancialPosition'!$B:$B,$A19,'1.FinancialPosition'!C:C)</f>
        <v>1372</v>
      </c>
      <c r="C19" s="35">
        <f>SUMIF('1.FinancialPosition'!$B:$B,$A19,'1.FinancialPosition'!D:D)</f>
        <v>591</v>
      </c>
      <c r="D19" s="35">
        <f>SUMIF('1.FinancialPosition'!$B:$B,$A19,'1.FinancialPosition'!E:E)</f>
        <v>1001</v>
      </c>
      <c r="E19" s="35">
        <f>SUMIF('1.FinancialPosition'!$B:$B,$A19,'1.FinancialPosition'!F:F)</f>
        <v>1473</v>
      </c>
      <c r="F19" s="35">
        <f>SUMIF('1.FinancialPosition'!$B:$B,$A19,'1.FinancialPosition'!G:G)</f>
        <v>1216</v>
      </c>
      <c r="G19" s="35"/>
      <c r="H19" s="35"/>
      <c r="I19" s="37">
        <f t="shared" si="9"/>
        <v>1216</v>
      </c>
      <c r="J19" s="38">
        <f>RANK(I19,$I$16:$I$22,0)+COUNTIF($I19:I$22,I19)-1</f>
        <v>4</v>
      </c>
      <c r="K19" s="28"/>
      <c r="L19" s="27">
        <v>4</v>
      </c>
      <c r="M19" s="28"/>
      <c r="N19" s="6" t="str">
        <f t="shared" si="10"/>
        <v>Other current non-financial assets</v>
      </c>
      <c r="O19" s="6"/>
      <c r="P19" s="6"/>
      <c r="Q19" s="39">
        <f t="shared" si="11"/>
        <v>1216</v>
      </c>
      <c r="R19" s="40">
        <f t="shared" si="12"/>
        <v>1.2453657237664119E-2</v>
      </c>
      <c r="AA19" s="19">
        <f t="shared" si="4"/>
        <v>17</v>
      </c>
      <c r="AB19" s="19" t="s">
        <v>105</v>
      </c>
      <c r="AC19" s="19" t="s">
        <v>8</v>
      </c>
      <c r="AD19" s="19" t="str">
        <f>IF(AB19=Charts!$F$20,hiddenPage!AA19,"")</f>
        <v/>
      </c>
      <c r="AE19" s="19" t="e">
        <f>SMALL($AD$3:$AD$35,ROWS($AD$3:AD19))</f>
        <v>#NUM!</v>
      </c>
    </row>
    <row r="20" spans="1:32" x14ac:dyDescent="0.3">
      <c r="A20" s="21" t="str">
        <f t="shared" si="8"/>
        <v>Cash and cash equivalents</v>
      </c>
      <c r="B20" s="35">
        <f>SUMIF('1.FinancialPosition'!$B:$B,$A20,'1.FinancialPosition'!C:C)</f>
        <v>11544</v>
      </c>
      <c r="C20" s="35">
        <f>SUMIF('1.FinancialPosition'!$B:$B,$A20,'1.FinancialPosition'!D:D)</f>
        <v>5997</v>
      </c>
      <c r="D20" s="35">
        <f>SUMIF('1.FinancialPosition'!$B:$B,$A20,'1.FinancialPosition'!E:E)</f>
        <v>9791</v>
      </c>
      <c r="E20" s="35">
        <f>SUMIF('1.FinancialPosition'!$B:$B,$A20,'1.FinancialPosition'!F:F)</f>
        <v>9764</v>
      </c>
      <c r="F20" s="35">
        <f>SUMIF('1.FinancialPosition'!$B:$B,$A20,'1.FinancialPosition'!G:G)</f>
        <v>20705</v>
      </c>
      <c r="G20" s="35"/>
      <c r="H20" s="35"/>
      <c r="I20" s="37">
        <f t="shared" si="9"/>
        <v>20705</v>
      </c>
      <c r="J20" s="38">
        <f>RANK(I20,$I$16:$I$22,0)+COUNTIF($I20:I$22,I20)-1</f>
        <v>3</v>
      </c>
      <c r="K20" s="28"/>
      <c r="L20" s="27">
        <v>5</v>
      </c>
      <c r="M20" s="28"/>
      <c r="N20" s="6" t="str">
        <f t="shared" si="10"/>
        <v>Other current financial assets</v>
      </c>
      <c r="O20" s="6"/>
      <c r="P20" s="6"/>
      <c r="Q20" s="39">
        <f t="shared" si="11"/>
        <v>181</v>
      </c>
      <c r="R20" s="40">
        <f t="shared" si="12"/>
        <v>1.8537104934352022E-3</v>
      </c>
      <c r="AA20" s="19">
        <f t="shared" si="4"/>
        <v>18</v>
      </c>
      <c r="AB20" s="19" t="s">
        <v>103</v>
      </c>
      <c r="AC20" s="19" t="s">
        <v>280</v>
      </c>
      <c r="AD20" s="19" t="str">
        <f>IF(AB20=Charts!$F$20,hiddenPage!AA20,"")</f>
        <v/>
      </c>
      <c r="AE20" s="19" t="e">
        <f>SMALL($AD$3:$AD$35,ROWS($AD$3:AD20))</f>
        <v>#NUM!</v>
      </c>
    </row>
    <row r="21" spans="1:32" x14ac:dyDescent="0.3">
      <c r="A21" s="21" t="str">
        <f t="shared" si="8"/>
        <v>Non-current assets or disposal groups classified as held for sale or as held for distribution to owners</v>
      </c>
      <c r="B21" s="35">
        <f>SUMIF('1.FinancialPosition'!$B:$B,$A21,'1.FinancialPosition'!C:C)</f>
        <v>0</v>
      </c>
      <c r="C21" s="35">
        <f>SUMIF('1.FinancialPosition'!$B:$B,$A21,'1.FinancialPosition'!D:D)</f>
        <v>0</v>
      </c>
      <c r="D21" s="35">
        <f>SUMIF('1.FinancialPosition'!$B:$B,$A21,'1.FinancialPosition'!E:E)</f>
        <v>16000</v>
      </c>
      <c r="E21" s="35">
        <f>SUMIF('1.FinancialPosition'!$B:$B,$A21,'1.FinancialPosition'!F:F)</f>
        <v>6873</v>
      </c>
      <c r="F21" s="35">
        <f>SUMIF('1.FinancialPosition'!$B:$B,$A21,'1.FinancialPosition'!G:G)</f>
        <v>71</v>
      </c>
      <c r="G21" s="35"/>
      <c r="H21" s="35"/>
      <c r="I21" s="37">
        <f t="shared" si="9"/>
        <v>71</v>
      </c>
      <c r="J21" s="38">
        <f>RANK(I21,$I$16:$I$22,0)+COUNTIF($I21:I$22,I21)-1</f>
        <v>6</v>
      </c>
      <c r="K21" s="28"/>
      <c r="L21" s="27">
        <v>6</v>
      </c>
      <c r="M21" s="28"/>
      <c r="N21" s="6" t="str">
        <f t="shared" si="10"/>
        <v>Non-current assets or disposal groups classified as held for sale or as held for distribution to owners</v>
      </c>
      <c r="O21" s="6"/>
      <c r="P21" s="6"/>
      <c r="Q21" s="39">
        <f t="shared" si="11"/>
        <v>71</v>
      </c>
      <c r="R21" s="40">
        <f t="shared" si="12"/>
        <v>7.2714610515966485E-4</v>
      </c>
      <c r="AA21" s="19">
        <f t="shared" si="4"/>
        <v>19</v>
      </c>
      <c r="AB21" s="19" t="s">
        <v>103</v>
      </c>
      <c r="AC21" s="19" t="s">
        <v>11</v>
      </c>
      <c r="AD21" s="19" t="str">
        <f>IF(AB21=Charts!$F$20,hiddenPage!AA21,"")</f>
        <v/>
      </c>
      <c r="AE21" s="19" t="e">
        <f>SMALL($AD$3:$AD$35,ROWS($AD$3:AD21))</f>
        <v>#NUM!</v>
      </c>
    </row>
    <row r="22" spans="1:32" x14ac:dyDescent="0.3">
      <c r="A22" s="21" t="str">
        <f t="shared" si="8"/>
        <v/>
      </c>
      <c r="B22" s="35">
        <f>SUMIF('1.FinancialPosition'!$B:$B,$A22,'1.FinancialPosition'!C:C)</f>
        <v>0</v>
      </c>
      <c r="C22" s="35">
        <f>SUMIF('1.FinancialPosition'!$B:$B,$A22,'1.FinancialPosition'!D:D)</f>
        <v>0</v>
      </c>
      <c r="D22" s="35">
        <f>SUMIF('1.FinancialPosition'!$B:$B,$A22,'1.FinancialPosition'!E:E)</f>
        <v>0</v>
      </c>
      <c r="E22" s="35">
        <f>SUMIF('1.FinancialPosition'!$B:$B,$A22,'1.FinancialPosition'!F:F)</f>
        <v>0</v>
      </c>
      <c r="F22" s="35">
        <f>SUMIF('1.FinancialPosition'!$B:$B,$A22,'1.FinancialPosition'!G:G)</f>
        <v>0</v>
      </c>
      <c r="G22" s="35"/>
      <c r="H22" s="35"/>
      <c r="I22" s="37">
        <f t="shared" si="9"/>
        <v>0</v>
      </c>
      <c r="J22" s="38">
        <f>RANK(I22,$I$16:$I$22,0)+COUNTIF($I22:I$22,I22)-1</f>
        <v>7</v>
      </c>
      <c r="K22" s="28"/>
      <c r="L22" s="27">
        <v>7</v>
      </c>
      <c r="M22" s="28"/>
      <c r="N22" s="6" t="str">
        <f t="shared" si="10"/>
        <v/>
      </c>
      <c r="O22" s="6"/>
      <c r="P22" s="6"/>
      <c r="Q22" s="39">
        <f t="shared" si="11"/>
        <v>0</v>
      </c>
      <c r="R22" s="40">
        <f t="shared" si="12"/>
        <v>0</v>
      </c>
      <c r="AA22" s="19">
        <f t="shared" si="4"/>
        <v>20</v>
      </c>
      <c r="AB22" s="19" t="s">
        <v>103</v>
      </c>
      <c r="AC22" s="19" t="s">
        <v>281</v>
      </c>
      <c r="AD22" s="19" t="str">
        <f>IF(AB22=Charts!$F$20,hiddenPage!AA22,"")</f>
        <v/>
      </c>
      <c r="AE22" s="19" t="e">
        <f>SMALL($AD$3:$AD$35,ROWS($AD$3:AD22))</f>
        <v>#NUM!</v>
      </c>
    </row>
    <row r="23" spans="1:32" x14ac:dyDescent="0.3">
      <c r="N23" s="27" t="str">
        <f>"Total  : "&amp;"lei "&amp;TEXT(Q23,"#,##0;[Red]-#,##0")&amp;" thousand"</f>
        <v>Total  : lei 97,642 thousand</v>
      </c>
      <c r="Q23" s="30">
        <f>SUM(Q16:Q22)</f>
        <v>97642</v>
      </c>
      <c r="AA23" s="19">
        <f t="shared" si="4"/>
        <v>21</v>
      </c>
      <c r="AB23" s="19" t="s">
        <v>103</v>
      </c>
      <c r="AC23" s="19" t="s">
        <v>282</v>
      </c>
      <c r="AD23" s="19" t="str">
        <f>IF(AB23=Charts!$F$20,hiddenPage!AA23,"")</f>
        <v/>
      </c>
      <c r="AE23" s="19" t="e">
        <f>SMALL($AD$3:$AD$35,ROWS($AD$3:AD23))</f>
        <v>#NUM!</v>
      </c>
    </row>
    <row r="24" spans="1:32" x14ac:dyDescent="0.3">
      <c r="B24" s="23">
        <f>B15</f>
        <v>2016</v>
      </c>
      <c r="C24" s="23">
        <f t="shared" ref="C24:F24" si="13">C15</f>
        <v>2017</v>
      </c>
      <c r="D24" s="23">
        <f t="shared" si="13"/>
        <v>2018</v>
      </c>
      <c r="E24" s="23">
        <f t="shared" si="13"/>
        <v>2019</v>
      </c>
      <c r="F24" s="23">
        <f t="shared" si="13"/>
        <v>2020</v>
      </c>
      <c r="G24" s="23"/>
      <c r="H24" s="23"/>
      <c r="I24" s="31" t="s">
        <v>25</v>
      </c>
      <c r="J24" s="21"/>
      <c r="AA24" s="19">
        <f t="shared" si="4"/>
        <v>22</v>
      </c>
      <c r="AB24" s="19" t="s">
        <v>104</v>
      </c>
      <c r="AC24" s="19" t="s">
        <v>283</v>
      </c>
      <c r="AD24" s="19" t="str">
        <f>IF(AB24=Charts!$F$20,hiddenPage!AA24,"")</f>
        <v/>
      </c>
      <c r="AE24" s="19" t="e">
        <f>SMALL($AD$3:$AD$35,ROWS($AD$3:AD24))</f>
        <v>#NUM!</v>
      </c>
      <c r="AF24" s="19" t="str">
        <f t="shared" ref="AF24:AF31" si="14">IF(ISERROR(VLOOKUP(AE24,$AA$3:$AC$40,3,0)),"",VLOOKUP(AE24,$AA$3:$AC$40,3,0))</f>
        <v/>
      </c>
    </row>
    <row r="25" spans="1:32" x14ac:dyDescent="0.3">
      <c r="A25" s="22" t="str">
        <f>AF3</f>
        <v>Current inventories</v>
      </c>
      <c r="B25" s="24">
        <f>SUMIF('1.FinancialPosition'!$B:$B,$A25,'1.FinancialPosition'!C:C)</f>
        <v>37171</v>
      </c>
      <c r="C25" s="24">
        <f>SUMIF('1.FinancialPosition'!$B:$B,$A25,'1.FinancialPosition'!D:D)</f>
        <v>38234</v>
      </c>
      <c r="D25" s="24">
        <f>SUMIF('1.FinancialPosition'!$B:$B,$A25,'1.FinancialPosition'!E:E)</f>
        <v>36548</v>
      </c>
      <c r="E25" s="24">
        <f>SUMIF('1.FinancialPosition'!$B:$B,$A25,'1.FinancialPosition'!F:F)</f>
        <v>45929</v>
      </c>
      <c r="F25" s="24">
        <f>SUMIF('1.FinancialPosition'!$B:$B,$A25,'1.FinancialPosition'!G:G)</f>
        <v>39279</v>
      </c>
      <c r="G25" s="24"/>
      <c r="H25" s="24"/>
      <c r="I25" s="33">
        <f>SUM(B25:H25)</f>
        <v>197161</v>
      </c>
      <c r="J25" s="21">
        <f>IF(I25&gt;1,1,0)</f>
        <v>1</v>
      </c>
      <c r="AA25" s="19">
        <f t="shared" si="4"/>
        <v>23</v>
      </c>
      <c r="AB25" s="19" t="s">
        <v>104</v>
      </c>
      <c r="AC25" s="19" t="s">
        <v>284</v>
      </c>
      <c r="AD25" s="19" t="str">
        <f>IF(AB25=Charts!$F$20,hiddenPage!AA25,"")</f>
        <v/>
      </c>
      <c r="AE25" s="19" t="e">
        <f>SMALL($AD$3:$AD$35,ROWS($AD$3:AD25))</f>
        <v>#NUM!</v>
      </c>
      <c r="AF25" s="19" t="str">
        <f t="shared" si="14"/>
        <v/>
      </c>
    </row>
    <row r="26" spans="1:32" x14ac:dyDescent="0.3">
      <c r="A26" s="22" t="str">
        <f t="shared" ref="A26:A31" si="15">AF4</f>
        <v>Trade and other current receivables</v>
      </c>
      <c r="B26" s="24">
        <f>SUMIF('1.FinancialPosition'!$B:$B,$A26,'1.FinancialPosition'!C:C)</f>
        <v>29728</v>
      </c>
      <c r="C26" s="24">
        <f>SUMIF('1.FinancialPosition'!$B:$B,$A26,'1.FinancialPosition'!D:D)</f>
        <v>36237</v>
      </c>
      <c r="D26" s="24">
        <f>SUMIF('1.FinancialPosition'!$B:$B,$A26,'1.FinancialPosition'!E:E)</f>
        <v>30295</v>
      </c>
      <c r="E26" s="24">
        <f>SUMIF('1.FinancialPosition'!$B:$B,$A26,'1.FinancialPosition'!F:F)</f>
        <v>34266</v>
      </c>
      <c r="F26" s="24">
        <f>SUMIF('1.FinancialPosition'!$B:$B,$A26,'1.FinancialPosition'!G:G)</f>
        <v>36190</v>
      </c>
      <c r="G26" s="24"/>
      <c r="H26" s="24"/>
      <c r="I26" s="33">
        <f t="shared" ref="I26:I30" si="16">SUM(B26:H26)</f>
        <v>166716</v>
      </c>
      <c r="J26" s="21">
        <f t="shared" ref="J26:J31" si="17">IF(I26&gt;1,1,0)</f>
        <v>1</v>
      </c>
      <c r="AA26" s="19">
        <f t="shared" si="4"/>
        <v>24</v>
      </c>
      <c r="AB26" s="19" t="s">
        <v>104</v>
      </c>
      <c r="AC26" s="19" t="s">
        <v>285</v>
      </c>
      <c r="AD26" s="19" t="str">
        <f>IF(AB26=Charts!$F$20,hiddenPage!AA26,"")</f>
        <v/>
      </c>
      <c r="AE26" s="19" t="e">
        <f>SMALL($AD$3:$AD$35,ROWS($AD$3:AD26))</f>
        <v>#NUM!</v>
      </c>
      <c r="AF26" s="19" t="str">
        <f t="shared" si="14"/>
        <v/>
      </c>
    </row>
    <row r="27" spans="1:32" x14ac:dyDescent="0.3">
      <c r="A27" s="22" t="str">
        <f t="shared" si="15"/>
        <v>Other current financial assets</v>
      </c>
      <c r="B27" s="24">
        <f>SUMIF('1.FinancialPosition'!$B:$B,$A27,'1.FinancialPosition'!C:C)</f>
        <v>0</v>
      </c>
      <c r="C27" s="24">
        <f>SUMIF('1.FinancialPosition'!$B:$B,$A27,'1.FinancialPosition'!D:D)</f>
        <v>0</v>
      </c>
      <c r="D27" s="24">
        <f>SUMIF('1.FinancialPosition'!$B:$B,$A27,'1.FinancialPosition'!E:E)</f>
        <v>0</v>
      </c>
      <c r="E27" s="24">
        <f>SUMIF('1.FinancialPosition'!$B:$B,$A27,'1.FinancialPosition'!F:F)</f>
        <v>2390</v>
      </c>
      <c r="F27" s="24">
        <f>SUMIF('1.FinancialPosition'!$B:$B,$A27,'1.FinancialPosition'!G:G)</f>
        <v>181</v>
      </c>
      <c r="G27" s="24"/>
      <c r="H27" s="24"/>
      <c r="I27" s="33">
        <f t="shared" si="16"/>
        <v>2571</v>
      </c>
      <c r="J27" s="21">
        <f t="shared" si="17"/>
        <v>1</v>
      </c>
      <c r="AA27" s="19">
        <f t="shared" si="4"/>
        <v>25</v>
      </c>
      <c r="AD27" s="19" t="str">
        <f>IF(AB27=Charts!$F$20,hiddenPage!AA27,"")</f>
        <v/>
      </c>
      <c r="AE27" s="19" t="e">
        <f>SMALL($AD$3:$AD$35,ROWS($AD$3:AD27))</f>
        <v>#NUM!</v>
      </c>
      <c r="AF27" s="19" t="str">
        <f t="shared" si="14"/>
        <v/>
      </c>
    </row>
    <row r="28" spans="1:32" x14ac:dyDescent="0.3">
      <c r="A28" s="22" t="str">
        <f t="shared" si="15"/>
        <v>Other current non-financial assets</v>
      </c>
      <c r="B28" s="24">
        <f>SUMIF('1.FinancialPosition'!$B:$B,$A28,'1.FinancialPosition'!C:C)</f>
        <v>1372</v>
      </c>
      <c r="C28" s="24">
        <f>SUMIF('1.FinancialPosition'!$B:$B,$A28,'1.FinancialPosition'!D:D)</f>
        <v>591</v>
      </c>
      <c r="D28" s="24">
        <f>SUMIF('1.FinancialPosition'!$B:$B,$A28,'1.FinancialPosition'!E:E)</f>
        <v>1001</v>
      </c>
      <c r="E28" s="24">
        <f>SUMIF('1.FinancialPosition'!$B:$B,$A28,'1.FinancialPosition'!F:F)</f>
        <v>1473</v>
      </c>
      <c r="F28" s="24">
        <f>SUMIF('1.FinancialPosition'!$B:$B,$A28,'1.FinancialPosition'!G:G)</f>
        <v>1216</v>
      </c>
      <c r="G28" s="24"/>
      <c r="H28" s="24"/>
      <c r="I28" s="33">
        <f t="shared" si="16"/>
        <v>5653</v>
      </c>
      <c r="J28" s="21">
        <f t="shared" si="17"/>
        <v>1</v>
      </c>
      <c r="AA28" s="19">
        <f t="shared" si="4"/>
        <v>26</v>
      </c>
      <c r="AD28" s="19" t="str">
        <f>IF(AB28=Charts!$F$20,hiddenPage!AA28,"")</f>
        <v/>
      </c>
      <c r="AE28" s="19" t="e">
        <f>SMALL($AD$3:$AD$35,ROWS($AD$3:AD28))</f>
        <v>#NUM!</v>
      </c>
      <c r="AF28" s="19" t="str">
        <f t="shared" si="14"/>
        <v/>
      </c>
    </row>
    <row r="29" spans="1:32" x14ac:dyDescent="0.3">
      <c r="A29" s="22" t="str">
        <f t="shared" si="15"/>
        <v>Cash and cash equivalents</v>
      </c>
      <c r="B29" s="24">
        <f>SUMIF('1.FinancialPosition'!$B:$B,$A29,'1.FinancialPosition'!C:C)</f>
        <v>11544</v>
      </c>
      <c r="C29" s="24">
        <f>SUMIF('1.FinancialPosition'!$B:$B,$A29,'1.FinancialPosition'!D:D)</f>
        <v>5997</v>
      </c>
      <c r="D29" s="24">
        <f>SUMIF('1.FinancialPosition'!$B:$B,$A29,'1.FinancialPosition'!E:E)</f>
        <v>9791</v>
      </c>
      <c r="E29" s="24">
        <f>SUMIF('1.FinancialPosition'!$B:$B,$A29,'1.FinancialPosition'!F:F)</f>
        <v>9764</v>
      </c>
      <c r="F29" s="24">
        <f>SUMIF('1.FinancialPosition'!$B:$B,$A29,'1.FinancialPosition'!G:G)</f>
        <v>20705</v>
      </c>
      <c r="G29" s="24"/>
      <c r="H29" s="24"/>
      <c r="I29" s="33">
        <f t="shared" si="16"/>
        <v>57801</v>
      </c>
      <c r="J29" s="21">
        <f t="shared" si="17"/>
        <v>1</v>
      </c>
      <c r="AA29" s="19">
        <f t="shared" si="4"/>
        <v>27</v>
      </c>
      <c r="AD29" s="19" t="str">
        <f>IF(AB29=Charts!$F$20,hiddenPage!AA29,"")</f>
        <v/>
      </c>
      <c r="AE29" s="19" t="e">
        <f>SMALL($AD$3:$AD$35,ROWS($AD$3:AD29))</f>
        <v>#NUM!</v>
      </c>
      <c r="AF29" s="19" t="str">
        <f t="shared" si="14"/>
        <v/>
      </c>
    </row>
    <row r="30" spans="1:32" x14ac:dyDescent="0.3">
      <c r="A30" s="22" t="str">
        <f t="shared" si="15"/>
        <v>Non-current assets or disposal groups classified as held for sale or as held for distribution to owners</v>
      </c>
      <c r="B30" s="24">
        <f>SUMIF('1.FinancialPosition'!$B:$B,$A30,'1.FinancialPosition'!C:C)</f>
        <v>0</v>
      </c>
      <c r="C30" s="24">
        <f>SUMIF('1.FinancialPosition'!$B:$B,$A30,'1.FinancialPosition'!D:D)</f>
        <v>0</v>
      </c>
      <c r="D30" s="24">
        <f>SUMIF('1.FinancialPosition'!$B:$B,$A30,'1.FinancialPosition'!E:E)</f>
        <v>16000</v>
      </c>
      <c r="E30" s="24">
        <f>SUMIF('1.FinancialPosition'!$B:$B,$A30,'1.FinancialPosition'!F:F)</f>
        <v>6873</v>
      </c>
      <c r="F30" s="24">
        <f>SUMIF('1.FinancialPosition'!$B:$B,$A30,'1.FinancialPosition'!G:G)</f>
        <v>71</v>
      </c>
      <c r="G30" s="24"/>
      <c r="H30" s="24"/>
      <c r="I30" s="33">
        <f t="shared" si="16"/>
        <v>22944</v>
      </c>
      <c r="J30" s="21">
        <f t="shared" si="17"/>
        <v>1</v>
      </c>
      <c r="AA30" s="19">
        <f t="shared" si="4"/>
        <v>28</v>
      </c>
      <c r="AD30" s="19" t="str">
        <f>IF(AB30=Charts!$F$20,hiddenPage!AA30,"")</f>
        <v/>
      </c>
      <c r="AE30" s="19" t="e">
        <f>SMALL($AD$3:$AD$35,ROWS($AD$3:AD30))</f>
        <v>#NUM!</v>
      </c>
      <c r="AF30" s="19" t="str">
        <f t="shared" si="14"/>
        <v/>
      </c>
    </row>
    <row r="31" spans="1:32" x14ac:dyDescent="0.3">
      <c r="A31" s="22" t="str">
        <f t="shared" si="15"/>
        <v/>
      </c>
      <c r="B31" s="24">
        <f>SUMIF('1.FinancialPosition'!$B:$B,$A31,'1.FinancialPosition'!C:C)</f>
        <v>0</v>
      </c>
      <c r="C31" s="24">
        <f>SUMIF('1.FinancialPosition'!$B:$B,$A31,'1.FinancialPosition'!D:D)</f>
        <v>0</v>
      </c>
      <c r="D31" s="24">
        <f>SUMIF('1.FinancialPosition'!$B:$B,$A31,'1.FinancialPosition'!E:E)</f>
        <v>0</v>
      </c>
      <c r="E31" s="24">
        <f>SUMIF('1.FinancialPosition'!$B:$B,$A31,'1.FinancialPosition'!F:F)</f>
        <v>0</v>
      </c>
      <c r="F31" s="24">
        <f>SUMIF('1.FinancialPosition'!$B:$B,$A31,'1.FinancialPosition'!G:G)</f>
        <v>0</v>
      </c>
      <c r="G31" s="24"/>
      <c r="H31" s="24"/>
      <c r="I31" s="33">
        <f>SUM(B31:H31)</f>
        <v>0</v>
      </c>
      <c r="J31" s="21">
        <f t="shared" si="17"/>
        <v>0</v>
      </c>
      <c r="AA31" s="19">
        <f t="shared" si="4"/>
        <v>29</v>
      </c>
      <c r="AD31" s="19" t="str">
        <f>IF(AB31=Charts!$F$20,hiddenPage!AA31,"")</f>
        <v/>
      </c>
      <c r="AE31" s="19" t="e">
        <f>SMALL($AD$3:$AD$35,ROWS($AD$3:AD31))</f>
        <v>#NUM!</v>
      </c>
      <c r="AF31" s="19" t="str">
        <f t="shared" si="14"/>
        <v/>
      </c>
    </row>
    <row r="32" spans="1:32" x14ac:dyDescent="0.3">
      <c r="A32" s="19" t="str">
        <f>Charts!S20</f>
        <v>Total current assets</v>
      </c>
      <c r="D32" s="19" t="str">
        <f>"Evolution of "&amp;A32&amp;" in the period 2016-2020"</f>
        <v>Evolution of Total current assets in the period 2016-2020</v>
      </c>
      <c r="AA32" s="19">
        <f t="shared" si="4"/>
        <v>30</v>
      </c>
      <c r="AD32" s="19" t="str">
        <f>IF(AB32=Charts!$F$20,hiddenPage!AA32,"")</f>
        <v/>
      </c>
      <c r="AE32" s="19" t="e">
        <f>SMALL($AD$3:$AD$35,ROWS($AD$3:AD32))</f>
        <v>#NUM!</v>
      </c>
    </row>
    <row r="33" spans="1:31" x14ac:dyDescent="0.3">
      <c r="A33" s="19">
        <v>2015</v>
      </c>
      <c r="B33" s="24">
        <f>SUMIF('1.FinancialPosition'!$B:$B,hiddenPage!$A$32,'1.FinancialPosition'!C:C)</f>
        <v>79815</v>
      </c>
      <c r="C33" s="23"/>
      <c r="D33" s="25"/>
      <c r="E33" s="23"/>
      <c r="F33" s="23"/>
      <c r="G33" s="23"/>
      <c r="AA33" s="19">
        <f t="shared" si="4"/>
        <v>31</v>
      </c>
      <c r="AD33" s="19" t="str">
        <f>IF(AB33=Charts!$F$20,hiddenPage!AA33,"")</f>
        <v/>
      </c>
      <c r="AE33" s="19" t="e">
        <f>SMALL($AD$3:$AD$35,ROWS($AD$3:AD33))</f>
        <v>#NUM!</v>
      </c>
    </row>
    <row r="34" spans="1:31" x14ac:dyDescent="0.3">
      <c r="A34" s="19">
        <f>A33+1</f>
        <v>2016</v>
      </c>
      <c r="B34" s="24">
        <f>SUMIF('1.FinancialPosition'!$B:$B,hiddenPage!$A$32,'1.FinancialPosition'!D:D)</f>
        <v>81059</v>
      </c>
      <c r="C34" s="24"/>
      <c r="D34" s="25"/>
      <c r="E34" s="24"/>
      <c r="F34" s="24"/>
      <c r="G34" s="24"/>
      <c r="AA34" s="19">
        <f t="shared" si="4"/>
        <v>32</v>
      </c>
      <c r="AD34" s="19" t="str">
        <f>IF(AB34=Charts!$F$20,hiddenPage!AA34,"")</f>
        <v/>
      </c>
      <c r="AE34" s="19" t="e">
        <f>SMALL($AD$3:$AD$35,ROWS($AD$3:AD34))</f>
        <v>#NUM!</v>
      </c>
    </row>
    <row r="35" spans="1:31" x14ac:dyDescent="0.3">
      <c r="A35" s="19">
        <f t="shared" ref="A35:A37" si="18">A34+1</f>
        <v>2017</v>
      </c>
      <c r="B35" s="24">
        <f>SUMIF('1.FinancialPosition'!$B:$B,hiddenPage!$A$32,'1.FinancialPosition'!E:E)</f>
        <v>93635</v>
      </c>
      <c r="C35" s="24"/>
      <c r="D35" s="25"/>
      <c r="E35" s="24"/>
      <c r="F35" s="24"/>
      <c r="G35" s="24"/>
      <c r="AA35" s="19">
        <f t="shared" si="4"/>
        <v>33</v>
      </c>
      <c r="AD35" s="19" t="str">
        <f>IF(AB35=Charts!$F$20,hiddenPage!AA35,"")</f>
        <v/>
      </c>
      <c r="AE35" s="19" t="e">
        <f>SMALL($AD$3:$AD$35,ROWS($AD$3:AD35))</f>
        <v>#NUM!</v>
      </c>
    </row>
    <row r="36" spans="1:31" x14ac:dyDescent="0.3">
      <c r="A36" s="19">
        <f t="shared" si="18"/>
        <v>2018</v>
      </c>
      <c r="B36" s="24">
        <f>SUMIF('1.FinancialPosition'!$B:$B,hiddenPage!$A$32,'1.FinancialPosition'!F:F)</f>
        <v>100695</v>
      </c>
      <c r="C36" s="24"/>
      <c r="D36" s="25"/>
      <c r="E36" s="24"/>
      <c r="F36" s="24"/>
      <c r="G36" s="24"/>
      <c r="AA36" s="19">
        <f t="shared" si="4"/>
        <v>34</v>
      </c>
      <c r="AD36" s="19" t="str">
        <f>IF(AB36=Charts!$F$20,hiddenPage!AA36,"")</f>
        <v/>
      </c>
      <c r="AE36" s="19" t="e">
        <f>SMALL($AD$3:$AD$35,ROWS($AD$3:AD36))</f>
        <v>#NUM!</v>
      </c>
    </row>
    <row r="37" spans="1:31" x14ac:dyDescent="0.3">
      <c r="A37" s="19">
        <f t="shared" si="18"/>
        <v>2019</v>
      </c>
      <c r="B37" s="24">
        <f>SUMIF('1.FinancialPosition'!$B:$B,hiddenPage!$A$32,'1.FinancialPosition'!G:G)</f>
        <v>97642</v>
      </c>
      <c r="C37" s="24"/>
      <c r="D37" s="25"/>
      <c r="E37" s="24"/>
      <c r="F37" s="24"/>
      <c r="G37" s="24"/>
    </row>
    <row r="38" spans="1:31" x14ac:dyDescent="0.3">
      <c r="B38" s="24"/>
      <c r="C38" s="24"/>
      <c r="D38" s="25"/>
      <c r="E38" s="24"/>
      <c r="F38" s="24"/>
      <c r="G38" s="24"/>
    </row>
    <row r="39" spans="1:31" x14ac:dyDescent="0.3">
      <c r="B39" s="24"/>
      <c r="C39" s="24"/>
      <c r="D39" s="25"/>
      <c r="E39" s="24"/>
      <c r="F39" s="24"/>
      <c r="G39" s="24"/>
    </row>
    <row r="41" spans="1:31" x14ac:dyDescent="0.3">
      <c r="B41" s="28" t="s">
        <v>108</v>
      </c>
      <c r="C41" s="28" t="s">
        <v>109</v>
      </c>
      <c r="D41" s="28" t="s">
        <v>110</v>
      </c>
      <c r="E41" s="28" t="s">
        <v>111</v>
      </c>
      <c r="F41" s="28" t="s">
        <v>107</v>
      </c>
      <c r="G41" s="28" t="s">
        <v>112</v>
      </c>
    </row>
    <row r="42" spans="1:31" x14ac:dyDescent="0.3">
      <c r="A42" s="29"/>
      <c r="F42" s="30">
        <f>B33</f>
        <v>79815</v>
      </c>
      <c r="G42" s="30">
        <f>F42</f>
        <v>79815</v>
      </c>
    </row>
    <row r="43" spans="1:31" x14ac:dyDescent="0.3">
      <c r="A43" s="19">
        <v>2016</v>
      </c>
      <c r="B43" s="26">
        <f>SUM(B42,E42:F42)-D43</f>
        <v>79815</v>
      </c>
      <c r="C43" s="26"/>
      <c r="D43" s="26">
        <f>IF(G43&lt;0,-G43,0)</f>
        <v>0</v>
      </c>
      <c r="E43" s="26">
        <f>IF(G43&gt;0,G43,0)</f>
        <v>1244</v>
      </c>
      <c r="G43" s="30">
        <f>B34-B33</f>
        <v>1244</v>
      </c>
    </row>
    <row r="44" spans="1:31" x14ac:dyDescent="0.3">
      <c r="A44" s="19">
        <v>2017</v>
      </c>
      <c r="B44" s="26">
        <f t="shared" ref="B44:B46" si="19">SUM(B43,E43:F43)-D44</f>
        <v>81059</v>
      </c>
      <c r="C44" s="26"/>
      <c r="D44" s="26">
        <f t="shared" ref="D44:D46" si="20">IF(G44&lt;0,-G44,0)</f>
        <v>0</v>
      </c>
      <c r="E44" s="26">
        <f t="shared" ref="E44:E46" si="21">IF(G44&gt;0,G44,0)</f>
        <v>12576</v>
      </c>
      <c r="G44" s="30">
        <f t="shared" ref="G44:G46" si="22">B35-B34</f>
        <v>12576</v>
      </c>
    </row>
    <row r="45" spans="1:31" x14ac:dyDescent="0.3">
      <c r="A45" s="19">
        <v>2018</v>
      </c>
      <c r="B45" s="26">
        <f t="shared" si="19"/>
        <v>93635</v>
      </c>
      <c r="C45" s="26"/>
      <c r="D45" s="26">
        <f t="shared" si="20"/>
        <v>0</v>
      </c>
      <c r="E45" s="26">
        <f t="shared" si="21"/>
        <v>7060</v>
      </c>
      <c r="G45" s="30">
        <f t="shared" si="22"/>
        <v>7060</v>
      </c>
    </row>
    <row r="46" spans="1:31" x14ac:dyDescent="0.3">
      <c r="A46" s="20">
        <v>2019</v>
      </c>
      <c r="B46" s="26">
        <f t="shared" si="19"/>
        <v>97642</v>
      </c>
      <c r="C46" s="26"/>
      <c r="D46" s="26">
        <f t="shared" si="20"/>
        <v>3053</v>
      </c>
      <c r="E46" s="26">
        <f t="shared" si="21"/>
        <v>0</v>
      </c>
      <c r="G46" s="30">
        <f t="shared" si="22"/>
        <v>-3053</v>
      </c>
    </row>
    <row r="47" spans="1:31" x14ac:dyDescent="0.3">
      <c r="C47" s="26">
        <f>SUM(B46,E46:F46)-D47</f>
        <v>97642</v>
      </c>
    </row>
    <row r="50" spans="1:18" x14ac:dyDescent="0.3">
      <c r="B50" s="19">
        <f>IF('2.Comprehensive income'!$T$29=B51,1,0)</f>
        <v>0</v>
      </c>
      <c r="C50" s="19">
        <f>IF('2.Comprehensive income'!$T$29=C51,1,0)</f>
        <v>0</v>
      </c>
      <c r="D50" s="19">
        <f>IF('2.Comprehensive income'!$T$29=D51,1,0)</f>
        <v>0</v>
      </c>
      <c r="E50" s="19">
        <f>IF('2.Comprehensive income'!$T$29=E51,1,0)</f>
        <v>0</v>
      </c>
      <c r="F50" s="19">
        <f>IF('2.Comprehensive income'!$T$29=F51,1,0)</f>
        <v>0</v>
      </c>
      <c r="G50" s="19">
        <f>IF('2.Comprehensive income'!$T$29=G51,1,0)</f>
        <v>0</v>
      </c>
      <c r="H50" s="19">
        <f>IF('2.Comprehensive income'!$T$29=H51,1,0)</f>
        <v>1</v>
      </c>
    </row>
    <row r="51" spans="1:18" x14ac:dyDescent="0.3">
      <c r="A51" s="28" t="s">
        <v>113</v>
      </c>
      <c r="B51" s="23"/>
      <c r="C51" s="23"/>
      <c r="D51" s="23">
        <v>2016</v>
      </c>
      <c r="E51" s="23">
        <f t="shared" ref="E51:H51" si="23">D51+1</f>
        <v>2017</v>
      </c>
      <c r="F51" s="23">
        <f t="shared" si="23"/>
        <v>2018</v>
      </c>
      <c r="G51" s="23">
        <f t="shared" si="23"/>
        <v>2019</v>
      </c>
      <c r="H51" s="23">
        <f t="shared" si="23"/>
        <v>2020</v>
      </c>
      <c r="I51" s="28" t="s">
        <v>114</v>
      </c>
      <c r="J51" s="28" t="s">
        <v>115</v>
      </c>
      <c r="L51" s="27" t="s">
        <v>116</v>
      </c>
      <c r="N51" s="27" t="s">
        <v>117</v>
      </c>
      <c r="Q51" s="28" t="s">
        <v>118</v>
      </c>
      <c r="R51" s="28" t="s">
        <v>119</v>
      </c>
    </row>
    <row r="52" spans="1:18" x14ac:dyDescent="0.3">
      <c r="A52" s="6" t="s">
        <v>125</v>
      </c>
      <c r="B52" s="5"/>
      <c r="C52" s="5"/>
      <c r="D52" s="5">
        <v>178719.38543999998</v>
      </c>
      <c r="E52" s="5">
        <v>195140.696</v>
      </c>
      <c r="F52" s="5">
        <v>198460.71900000001</v>
      </c>
      <c r="G52" s="5">
        <v>183857.27963</v>
      </c>
      <c r="H52" s="8">
        <v>181146.47198999999</v>
      </c>
      <c r="I52" s="32">
        <f>SUMPRODUCT($D$50:$H$50,D52:H52)</f>
        <v>181146.47198999999</v>
      </c>
      <c r="J52" s="30">
        <f>RANK(I52,$I$52:$I$58,0)+COUNTIF($I$52:I52,I52)-1</f>
        <v>1</v>
      </c>
      <c r="L52" s="27">
        <v>1</v>
      </c>
      <c r="N52" s="27" t="str">
        <f t="shared" ref="N52:N58" si="24">INDEX($A$52:$A$58,MATCH(L52,$J$52:$J$58,0))</f>
        <v>Romcarbon SA</v>
      </c>
      <c r="Q52" s="24">
        <f>SUMIF($A$52:$A$58,N52,$I$52:$I$58)</f>
        <v>181146.47198999999</v>
      </c>
      <c r="R52" s="36">
        <f t="shared" ref="R52:R58" si="25">Q52/$Q$59</f>
        <v>0.6045927372815646</v>
      </c>
    </row>
    <row r="53" spans="1:18" x14ac:dyDescent="0.3">
      <c r="A53" s="6" t="s">
        <v>126</v>
      </c>
      <c r="B53" s="5"/>
      <c r="C53" s="5"/>
      <c r="D53" s="5">
        <v>64337.189229999996</v>
      </c>
      <c r="E53" s="5">
        <v>82571.305110000001</v>
      </c>
      <c r="F53" s="5">
        <v>87292.69442</v>
      </c>
      <c r="G53" s="5">
        <v>90780.619179999994</v>
      </c>
      <c r="H53" s="8">
        <v>110666.94482</v>
      </c>
      <c r="I53" s="32">
        <f t="shared" ref="I53:I58" si="26">SUMPRODUCT($D$50:$H$50,D53:H53)</f>
        <v>110666.94482</v>
      </c>
      <c r="J53" s="30">
        <f>RANK(I53,$I$52:$I$58,0)+COUNTIF($I$52:I53,I53)-1</f>
        <v>2</v>
      </c>
      <c r="L53" s="27">
        <f>L52+1</f>
        <v>2</v>
      </c>
      <c r="N53" s="27" t="str">
        <f t="shared" si="24"/>
        <v>LivingJumbo Industry SA</v>
      </c>
      <c r="Q53" s="24">
        <f t="shared" ref="Q53:Q58" si="27">SUMIF($A$52:$A$58,N53,$I$52:$I$58)</f>
        <v>110666.94482</v>
      </c>
      <c r="R53" s="36">
        <f t="shared" si="25"/>
        <v>0.36936093957714661</v>
      </c>
    </row>
    <row r="54" spans="1:18" x14ac:dyDescent="0.3">
      <c r="A54" s="6" t="s">
        <v>127</v>
      </c>
      <c r="B54" s="5"/>
      <c r="C54" s="5"/>
      <c r="D54" s="5">
        <v>10878.33534</v>
      </c>
      <c r="E54" s="5">
        <v>10457.797839999999</v>
      </c>
      <c r="F54" s="5">
        <v>8606.4252100000012</v>
      </c>
      <c r="G54" s="5">
        <v>7034.1884600000012</v>
      </c>
      <c r="H54" s="8">
        <v>6867.3968000000004</v>
      </c>
      <c r="I54" s="32">
        <f t="shared" si="26"/>
        <v>6867.3968000000004</v>
      </c>
      <c r="J54" s="30">
        <f>RANK(I54,$I$52:$I$58,0)+COUNTIF($I$52:I54,I54)-1</f>
        <v>3</v>
      </c>
      <c r="L54" s="27">
        <f t="shared" ref="L54:L58" si="28">L53+1</f>
        <v>3</v>
      </c>
      <c r="N54" s="27" t="str">
        <f t="shared" si="24"/>
        <v>RC Energo Install SRL</v>
      </c>
      <c r="Q54" s="24">
        <f t="shared" si="27"/>
        <v>6867.3968000000004</v>
      </c>
      <c r="R54" s="36">
        <f t="shared" si="25"/>
        <v>2.2920558063862614E-2</v>
      </c>
    </row>
    <row r="55" spans="1:18" x14ac:dyDescent="0.3">
      <c r="A55" s="6" t="s">
        <v>128</v>
      </c>
      <c r="B55" s="5"/>
      <c r="C55" s="5"/>
      <c r="D55" s="5">
        <v>59.412879999999994</v>
      </c>
      <c r="E55" s="5">
        <v>2.95716</v>
      </c>
      <c r="F55" s="5">
        <v>2.3330000000000002</v>
      </c>
      <c r="G55" s="5">
        <v>0</v>
      </c>
      <c r="H55" s="8">
        <v>0</v>
      </c>
      <c r="I55" s="32">
        <f t="shared" si="26"/>
        <v>0</v>
      </c>
      <c r="J55" s="30">
        <f>RANK(I55,$I$52:$I$58,0)+COUNTIF($I$52:I55,I55)-1</f>
        <v>5</v>
      </c>
      <c r="L55" s="27">
        <f t="shared" si="28"/>
        <v>4</v>
      </c>
      <c r="N55" s="27" t="str">
        <f t="shared" si="24"/>
        <v>Info Tech Solutions SRL</v>
      </c>
      <c r="Q55" s="24">
        <f t="shared" si="27"/>
        <v>936.53343999999993</v>
      </c>
      <c r="R55" s="36">
        <f t="shared" si="25"/>
        <v>3.1257650774262806E-3</v>
      </c>
    </row>
    <row r="56" spans="1:18" x14ac:dyDescent="0.3">
      <c r="A56" s="6" t="s">
        <v>129</v>
      </c>
      <c r="B56" s="5"/>
      <c r="C56" s="5"/>
      <c r="D56" s="5">
        <v>1728.1315300000001</v>
      </c>
      <c r="E56" s="5">
        <v>1268.73245</v>
      </c>
      <c r="F56" s="5">
        <v>1582.95812</v>
      </c>
      <c r="G56" s="5">
        <v>976.92761999999993</v>
      </c>
      <c r="H56" s="8">
        <v>936.53343999999993</v>
      </c>
      <c r="I56" s="32">
        <f t="shared" si="26"/>
        <v>936.53343999999993</v>
      </c>
      <c r="J56" s="30">
        <f>RANK(I56,$I$52:$I$58,0)+COUNTIF($I$52:I56,I56)-1</f>
        <v>4</v>
      </c>
      <c r="L56" s="27">
        <f t="shared" si="28"/>
        <v>5</v>
      </c>
      <c r="N56" s="27" t="str">
        <f t="shared" si="24"/>
        <v>Eco Pack Management SA</v>
      </c>
      <c r="Q56" s="24">
        <f t="shared" si="27"/>
        <v>0</v>
      </c>
      <c r="R56" s="36">
        <f t="shared" si="25"/>
        <v>0</v>
      </c>
    </row>
    <row r="57" spans="1:18" x14ac:dyDescent="0.3">
      <c r="A57" s="6" t="s">
        <v>130</v>
      </c>
      <c r="B57" s="5"/>
      <c r="C57" s="5"/>
      <c r="D57" s="5">
        <v>13205.55847</v>
      </c>
      <c r="E57" s="5">
        <v>0</v>
      </c>
      <c r="F57" s="5">
        <v>0</v>
      </c>
      <c r="G57" s="5"/>
      <c r="H57" s="8">
        <v>0</v>
      </c>
      <c r="I57" s="32">
        <f t="shared" si="26"/>
        <v>0</v>
      </c>
      <c r="J57" s="30">
        <f>RANK(I57,$I$52:$I$58,0)+COUNTIF($I$52:I57,I57)-1</f>
        <v>6</v>
      </c>
      <c r="L57" s="27">
        <f t="shared" si="28"/>
        <v>6</v>
      </c>
      <c r="N57" s="27" t="str">
        <f t="shared" si="24"/>
        <v>Next Eco Reciclyng SA</v>
      </c>
      <c r="Q57" s="24">
        <f t="shared" si="27"/>
        <v>0</v>
      </c>
      <c r="R57" s="36">
        <f t="shared" si="25"/>
        <v>0</v>
      </c>
    </row>
    <row r="58" spans="1:18" x14ac:dyDescent="0.3">
      <c r="A58" s="19" t="s">
        <v>131</v>
      </c>
      <c r="D58" s="5">
        <v>0</v>
      </c>
      <c r="E58" s="19">
        <v>118.53241</v>
      </c>
      <c r="F58" s="19">
        <v>8.3589000000000002</v>
      </c>
      <c r="H58" s="8"/>
      <c r="I58" s="32">
        <f t="shared" si="26"/>
        <v>0</v>
      </c>
      <c r="J58" s="30">
        <f>RANK(I58,$I$52:$I$58,0)+COUNTIF($I$52:I58,I58)-1</f>
        <v>7</v>
      </c>
      <c r="L58" s="27">
        <f t="shared" si="28"/>
        <v>7</v>
      </c>
      <c r="N58" s="27" t="str">
        <f t="shared" si="24"/>
        <v>Project Advice SRL</v>
      </c>
      <c r="Q58" s="24">
        <f t="shared" si="27"/>
        <v>0</v>
      </c>
      <c r="R58" s="36">
        <f t="shared" si="25"/>
        <v>0</v>
      </c>
    </row>
    <row r="59" spans="1:18" x14ac:dyDescent="0.3">
      <c r="Q59" s="30">
        <f>SUM(Q52:Q58)</f>
        <v>299617.34704999998</v>
      </c>
    </row>
    <row r="60" spans="1:18" x14ac:dyDescent="0.3">
      <c r="Q60" s="19" t="str">
        <f>"Total : "&amp;" lei "&amp;TEXT(Q59,"#,##0;[Red]-#,##0")&amp;" thousand"</f>
        <v>Total :  lei 299,617 thousand</v>
      </c>
    </row>
    <row r="62" spans="1:18" x14ac:dyDescent="0.3">
      <c r="B62" s="23">
        <f>B15</f>
        <v>2016</v>
      </c>
      <c r="C62" s="23">
        <f t="shared" ref="C62:F62" si="29">C15</f>
        <v>2017</v>
      </c>
      <c r="D62" s="23">
        <f t="shared" si="29"/>
        <v>2018</v>
      </c>
      <c r="E62" s="23">
        <f t="shared" si="29"/>
        <v>2019</v>
      </c>
      <c r="F62" s="23">
        <f t="shared" si="29"/>
        <v>2020</v>
      </c>
      <c r="Q62" s="19" t="str">
        <f>"Structure of Revenues on companies in "&amp;'2.Comprehensive income'!T29</f>
        <v>Structure of Revenues on companies in 2020</v>
      </c>
    </row>
    <row r="63" spans="1:18" x14ac:dyDescent="0.3">
      <c r="A63" s="22" t="str">
        <f>A10</f>
        <v>Total liabilities</v>
      </c>
      <c r="B63" s="36">
        <f>B10/B$12</f>
        <v>0.56826314104762554</v>
      </c>
      <c r="C63" s="36">
        <f t="shared" ref="C63:F63" si="30">C10/C$12</f>
        <v>0.57094802024134805</v>
      </c>
      <c r="D63" s="36">
        <f t="shared" si="30"/>
        <v>0.54240742583314339</v>
      </c>
      <c r="E63" s="36">
        <f t="shared" si="30"/>
        <v>0.53339529720928525</v>
      </c>
      <c r="F63" s="36">
        <f t="shared" si="30"/>
        <v>0.5001663583968059</v>
      </c>
    </row>
    <row r="64" spans="1:18" x14ac:dyDescent="0.3">
      <c r="A64" s="22" t="str">
        <f>A11</f>
        <v>Total Equity</v>
      </c>
      <c r="B64" s="36">
        <f>B11/B$12</f>
        <v>0.4317368589523744</v>
      </c>
      <c r="C64" s="36">
        <f t="shared" ref="C64:F64" si="31">C11/C$12</f>
        <v>0.42905197975865189</v>
      </c>
      <c r="D64" s="36">
        <f t="shared" si="31"/>
        <v>0.45759257416685656</v>
      </c>
      <c r="E64" s="36">
        <f t="shared" si="31"/>
        <v>0.46660470279071475</v>
      </c>
      <c r="F64" s="36">
        <f t="shared" si="31"/>
        <v>0.4998336416031941</v>
      </c>
    </row>
    <row r="66" spans="1:1" x14ac:dyDescent="0.3">
      <c r="A66" s="19" t="str">
        <f>"Total "&amp;Charts!N2</f>
        <v>Total Equity&amp;Liabilities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S54"/>
  <sheetViews>
    <sheetView showGridLines="0" zoomScale="96" zoomScaleNormal="96" workbookViewId="0">
      <selection activeCell="O25" sqref="O25"/>
    </sheetView>
  </sheetViews>
  <sheetFormatPr defaultColWidth="9.109375" defaultRowHeight="14.4" x14ac:dyDescent="0.3"/>
  <cols>
    <col min="1" max="1" width="0.88671875" style="132" customWidth="1"/>
    <col min="2" max="2" width="1.77734375" style="132" customWidth="1"/>
    <col min="3" max="3" width="40.6640625" style="132" customWidth="1"/>
    <col min="4" max="5" width="9.5546875" style="132" customWidth="1"/>
    <col min="6" max="7" width="9.33203125" style="132" bestFit="1" customWidth="1"/>
    <col min="8" max="8" width="9.44140625" style="132" bestFit="1" customWidth="1"/>
    <col min="9" max="9" width="2.88671875" style="132" bestFit="1" customWidth="1"/>
    <col min="10" max="10" width="9.109375" style="132" customWidth="1"/>
    <col min="11" max="11" width="7.5546875" style="132" bestFit="1" customWidth="1"/>
    <col min="12" max="18" width="9.109375" style="132"/>
    <col min="19" max="19" width="9.109375" style="132" hidden="1" customWidth="1"/>
    <col min="20" max="20" width="9.109375" style="132"/>
    <col min="21" max="21" width="2.33203125" style="132" customWidth="1"/>
    <col min="22" max="16384" width="9.109375" style="132"/>
  </cols>
  <sheetData>
    <row r="2" spans="3:19" x14ac:dyDescent="0.3">
      <c r="J2" s="54" t="s">
        <v>156</v>
      </c>
      <c r="K2" s="54"/>
    </row>
    <row r="3" spans="3:19" ht="20.399999999999999" customHeight="1" x14ac:dyDescent="0.3">
      <c r="C3" s="207" t="s">
        <v>89</v>
      </c>
      <c r="D3" s="208">
        <f>'2.Comprehensive income'!C3</f>
        <v>2016</v>
      </c>
      <c r="E3" s="208">
        <f>'2.Comprehensive income'!D3</f>
        <v>2017</v>
      </c>
      <c r="F3" s="208">
        <f>'2.Comprehensive income'!E3</f>
        <v>2018</v>
      </c>
      <c r="G3" s="208">
        <f>'2.Comprehensive income'!F3</f>
        <v>2019</v>
      </c>
      <c r="H3" s="208">
        <f>'2.Comprehensive income'!G3</f>
        <v>2020</v>
      </c>
      <c r="I3" s="223" t="str">
        <f>CONCATENATE(H3," vs. ",G3)</f>
        <v>2020 vs. 2019</v>
      </c>
      <c r="J3" s="223"/>
      <c r="K3" s="223"/>
    </row>
    <row r="4" spans="3:19" x14ac:dyDescent="0.3">
      <c r="C4" s="242" t="s">
        <v>120</v>
      </c>
      <c r="D4" s="50">
        <f>'2.Comprehensive income'!C4</f>
        <v>238236</v>
      </c>
      <c r="E4" s="50">
        <f>'2.Comprehensive income'!D4</f>
        <v>251993</v>
      </c>
      <c r="F4" s="50">
        <f>'2.Comprehensive income'!E4</f>
        <v>257709</v>
      </c>
      <c r="G4" s="50">
        <f>'2.Comprehensive income'!F4</f>
        <v>245772</v>
      </c>
      <c r="H4" s="153">
        <f>'2.Comprehensive income'!G4</f>
        <v>256050</v>
      </c>
      <c r="I4" s="51" t="str">
        <f>IF(H4+G4&gt;0,IF(H4&gt;G4,"▲",IF(H4=G4,"▬","▼")),IF(H4&gt;G4,"▼",IF(H4=G4,"▬","▲")))</f>
        <v>▲</v>
      </c>
      <c r="J4" s="50">
        <f>H4-G4</f>
        <v>10278</v>
      </c>
      <c r="K4" s="52">
        <f>H4/G4-1</f>
        <v>4.1819247107074853E-2</v>
      </c>
      <c r="S4" s="243">
        <f>H4/D4-1</f>
        <v>7.4774593260464428E-2</v>
      </c>
    </row>
    <row r="5" spans="3:19" x14ac:dyDescent="0.3">
      <c r="C5" s="242" t="s">
        <v>286</v>
      </c>
      <c r="D5" s="50">
        <f>'2.Comprehensive income'!C5</f>
        <v>5865</v>
      </c>
      <c r="E5" s="50">
        <f>'2.Comprehensive income'!D5</f>
        <v>6391</v>
      </c>
      <c r="F5" s="50">
        <f>'2.Comprehensive income'!E5</f>
        <v>6289</v>
      </c>
      <c r="G5" s="50">
        <f>'2.Comprehensive income'!F5</f>
        <v>6897</v>
      </c>
      <c r="H5" s="153">
        <f>'2.Comprehensive income'!G5</f>
        <v>5198</v>
      </c>
      <c r="I5" s="51" t="str">
        <f t="shared" ref="I5:I14" si="0">IF(H5+G5&gt;0,IF(H5&gt;G5,"▲",IF(H5=G5,"▬","▼")),IF(H5&gt;G5,"▼",IF(H5=G5,"▬","▲")))</f>
        <v>▼</v>
      </c>
      <c r="J5" s="50">
        <f t="shared" ref="J5:J16" si="1">H5-G5</f>
        <v>-1699</v>
      </c>
      <c r="K5" s="52">
        <f t="shared" ref="K5:K16" si="2">H5/G5-1</f>
        <v>-0.24633898796578224</v>
      </c>
    </row>
    <row r="6" spans="3:19" x14ac:dyDescent="0.3">
      <c r="C6" s="242" t="s">
        <v>295</v>
      </c>
      <c r="D6" s="50">
        <f>'2.Comprehensive income'!C15</f>
        <v>3904</v>
      </c>
      <c r="E6" s="50">
        <f>'2.Comprehensive income'!D15</f>
        <v>1457</v>
      </c>
      <c r="F6" s="50">
        <f>'2.Comprehensive income'!E15</f>
        <v>-1344</v>
      </c>
      <c r="G6" s="50">
        <f>'2.Comprehensive income'!F15</f>
        <v>-68</v>
      </c>
      <c r="H6" s="153">
        <f>'2.Comprehensive income'!G15</f>
        <v>-2565</v>
      </c>
      <c r="I6" s="51" t="str">
        <f t="shared" ref="I6" si="3">IF(H6+G6&gt;0,IF(H6&gt;G6,"▲",IF(H6=G6,"▬","▼")),IF(H6&gt;G6,"▼",IF(H6=G6,"▬","▲")))</f>
        <v>▲</v>
      </c>
      <c r="J6" s="50">
        <f t="shared" ref="J6" si="4">H6-G6</f>
        <v>-2497</v>
      </c>
      <c r="K6" s="52">
        <f t="shared" ref="K6" si="5">H6/G6-1</f>
        <v>36.720588235294116</v>
      </c>
    </row>
    <row r="7" spans="3:19" ht="15" thickBot="1" x14ac:dyDescent="0.35">
      <c r="C7" s="242" t="s">
        <v>28</v>
      </c>
      <c r="D7" s="48">
        <f>'EBIT-EBITDA'!C10</f>
        <v>17175.630999999998</v>
      </c>
      <c r="E7" s="48">
        <f>'EBIT-EBITDA'!D10</f>
        <v>14234.901000000002</v>
      </c>
      <c r="F7" s="48">
        <f>'EBIT-EBITDA'!E10</f>
        <v>10585.352999999999</v>
      </c>
      <c r="G7" s="48">
        <f>'EBIT-EBITDA'!F10</f>
        <v>12096.951796575342</v>
      </c>
      <c r="H7" s="153">
        <f>'EBIT-EBITDA'!G10</f>
        <v>13463.277339999997</v>
      </c>
      <c r="I7" s="51" t="str">
        <f t="shared" si="0"/>
        <v>▲</v>
      </c>
      <c r="J7" s="50">
        <f t="shared" si="1"/>
        <v>1366.3255434246548</v>
      </c>
      <c r="K7" s="52">
        <f t="shared" si="2"/>
        <v>0.1129479199719936</v>
      </c>
    </row>
    <row r="8" spans="3:19" ht="15" thickBot="1" x14ac:dyDescent="0.35">
      <c r="C8" s="244" t="s">
        <v>294</v>
      </c>
      <c r="D8" s="211">
        <v>20252.589</v>
      </c>
      <c r="E8" s="211">
        <v>13305.677</v>
      </c>
      <c r="F8" s="211">
        <v>10075.742</v>
      </c>
      <c r="G8" s="211">
        <v>12530.438116392579</v>
      </c>
      <c r="H8" s="209">
        <v>17752.991620273904</v>
      </c>
      <c r="I8" s="212" t="str">
        <f t="shared" ref="I8" si="6">IF(H8+G8&gt;0,IF(H8&gt;G8,"▲",IF(H8=G8,"▬","▼")),IF(H8&gt;G8,"▼",IF(H8=G8,"▬","▲")))</f>
        <v>▲</v>
      </c>
      <c r="J8" s="213">
        <f t="shared" ref="J8" si="7">H8-G8</f>
        <v>5222.553503881325</v>
      </c>
      <c r="K8" s="214">
        <f t="shared" ref="K8" si="8">H8/G8-1</f>
        <v>0.41678937762352231</v>
      </c>
    </row>
    <row r="9" spans="3:19" ht="15" thickBot="1" x14ac:dyDescent="0.35">
      <c r="C9" s="242" t="s">
        <v>85</v>
      </c>
      <c r="D9" s="48">
        <f>'2.Comprehensive income'!C18</f>
        <v>3286</v>
      </c>
      <c r="E9" s="48">
        <f>'2.Comprehensive income'!D18</f>
        <v>-1565</v>
      </c>
      <c r="F9" s="48">
        <f>'2.Comprehensive income'!E18</f>
        <v>-4117</v>
      </c>
      <c r="G9" s="48">
        <f>'2.Comprehensive income'!F18</f>
        <v>-2617</v>
      </c>
      <c r="H9" s="153">
        <f>'2.Comprehensive income'!G18</f>
        <v>-84</v>
      </c>
      <c r="I9" s="51" t="str">
        <f>IF(H9+G9&gt;0,IF(H9&gt;G9,"▲",IF(H9=G9,"▬","▼")),IF(H9&gt;G9,"▼",IF(H9=G9,"▬","▲")))</f>
        <v>▼</v>
      </c>
      <c r="J9" s="50">
        <f>H9-G9</f>
        <v>2533</v>
      </c>
      <c r="K9" s="52">
        <f t="shared" si="2"/>
        <v>-0.96790217806648837</v>
      </c>
    </row>
    <row r="10" spans="3:19" ht="37.200000000000003" customHeight="1" thickBot="1" x14ac:dyDescent="0.35">
      <c r="C10" s="237" t="s">
        <v>307</v>
      </c>
      <c r="D10" s="238">
        <f>D9-D6</f>
        <v>-618</v>
      </c>
      <c r="E10" s="238">
        <f t="shared" ref="E10:H10" si="9">E9-E6</f>
        <v>-3022</v>
      </c>
      <c r="F10" s="238">
        <f t="shared" si="9"/>
        <v>-2773</v>
      </c>
      <c r="G10" s="238">
        <f t="shared" si="9"/>
        <v>-2549</v>
      </c>
      <c r="H10" s="239">
        <f t="shared" si="9"/>
        <v>2481</v>
      </c>
      <c r="I10" s="240" t="str">
        <f>IF(H10+G10&gt;0,IF(H10&gt;G10,"▲",IF(H10=G10,"▬","▼")),IF(H10&gt;G10,"▼",IF(H10=G10,"▬","▲")))</f>
        <v>▼</v>
      </c>
      <c r="J10" s="238">
        <f>H10-G10</f>
        <v>5030</v>
      </c>
      <c r="K10" s="241">
        <f t="shared" ref="K10" si="10">H10/G10-1</f>
        <v>-1.9733228717143978</v>
      </c>
    </row>
    <row r="11" spans="3:19" x14ac:dyDescent="0.3">
      <c r="C11" s="242" t="s">
        <v>86</v>
      </c>
      <c r="D11" s="48">
        <f>'1.FinancialPosition'!C11</f>
        <v>270081</v>
      </c>
      <c r="E11" s="48">
        <f>'1.FinancialPosition'!D11</f>
        <v>262594</v>
      </c>
      <c r="F11" s="48">
        <f>'1.FinancialPosition'!E11</f>
        <v>217924</v>
      </c>
      <c r="G11" s="48">
        <f>'1.FinancialPosition'!F11</f>
        <v>198404</v>
      </c>
      <c r="H11" s="153">
        <f>'1.FinancialPosition'!G11</f>
        <v>181875</v>
      </c>
      <c r="I11" s="51" t="str">
        <f t="shared" si="0"/>
        <v>▼</v>
      </c>
      <c r="J11" s="50">
        <f t="shared" si="1"/>
        <v>-16529</v>
      </c>
      <c r="K11" s="52">
        <f t="shared" si="2"/>
        <v>-8.3309812302171382E-2</v>
      </c>
    </row>
    <row r="12" spans="3:19" x14ac:dyDescent="0.3">
      <c r="C12" s="242" t="s">
        <v>87</v>
      </c>
      <c r="D12" s="48">
        <f>'1.FinancialPosition'!C18</f>
        <v>79815</v>
      </c>
      <c r="E12" s="48">
        <f>'1.FinancialPosition'!D18</f>
        <v>81059</v>
      </c>
      <c r="F12" s="48">
        <f>'1.FinancialPosition'!E18</f>
        <v>93635</v>
      </c>
      <c r="G12" s="48">
        <f>'1.FinancialPosition'!F18</f>
        <v>100695</v>
      </c>
      <c r="H12" s="153">
        <f>'1.FinancialPosition'!G18</f>
        <v>97642</v>
      </c>
      <c r="I12" s="51" t="str">
        <f t="shared" si="0"/>
        <v>▼</v>
      </c>
      <c r="J12" s="50">
        <f t="shared" si="1"/>
        <v>-3053</v>
      </c>
      <c r="K12" s="52">
        <f t="shared" si="2"/>
        <v>-3.0319280997070375E-2</v>
      </c>
    </row>
    <row r="13" spans="3:19" x14ac:dyDescent="0.3">
      <c r="C13" s="242" t="s">
        <v>9</v>
      </c>
      <c r="D13" s="48">
        <f>'1.FinancialPosition'!C26</f>
        <v>151063</v>
      </c>
      <c r="E13" s="48">
        <f>'1.FinancialPosition'!D26</f>
        <v>147445</v>
      </c>
      <c r="F13" s="48">
        <f>'1.FinancialPosition'!E26</f>
        <v>142568</v>
      </c>
      <c r="G13" s="48">
        <f>'1.FinancialPosition'!F26</f>
        <v>139561</v>
      </c>
      <c r="H13" s="153">
        <f>'1.FinancialPosition'!G26</f>
        <v>139712</v>
      </c>
      <c r="I13" s="51" t="str">
        <f t="shared" si="0"/>
        <v>▲</v>
      </c>
      <c r="J13" s="50">
        <f t="shared" si="1"/>
        <v>151</v>
      </c>
      <c r="K13" s="52">
        <f t="shared" si="2"/>
        <v>1.081964159041604E-3</v>
      </c>
    </row>
    <row r="14" spans="3:19" x14ac:dyDescent="0.3">
      <c r="C14" s="242" t="s">
        <v>88</v>
      </c>
      <c r="D14" s="48">
        <f>'1.FinancialPosition'!C36</f>
        <v>198833</v>
      </c>
      <c r="E14" s="48">
        <f>'1.FinancialPosition'!D36</f>
        <v>196208</v>
      </c>
      <c r="F14" s="48">
        <f>'1.FinancialPosition'!E36</f>
        <v>168993</v>
      </c>
      <c r="G14" s="48">
        <f>'1.FinancialPosition'!F36</f>
        <v>159538</v>
      </c>
      <c r="H14" s="153">
        <f>'1.FinancialPosition'!G36</f>
        <v>139805</v>
      </c>
      <c r="I14" s="51" t="str">
        <f t="shared" si="0"/>
        <v>▼</v>
      </c>
      <c r="J14" s="50">
        <f t="shared" si="1"/>
        <v>-19733</v>
      </c>
      <c r="K14" s="52">
        <f t="shared" si="2"/>
        <v>-0.12368840025573846</v>
      </c>
    </row>
    <row r="15" spans="3:19" x14ac:dyDescent="0.3">
      <c r="C15" s="242" t="s">
        <v>265</v>
      </c>
      <c r="D15" s="53">
        <f>D14/(D11+D12)</f>
        <v>0.56826314104762554</v>
      </c>
      <c r="E15" s="53">
        <f t="shared" ref="E15" si="11">E14/(E11+E12)</f>
        <v>0.57094802024134805</v>
      </c>
      <c r="F15" s="53">
        <f>F14/(F11+F12)</f>
        <v>0.54241090772534251</v>
      </c>
      <c r="G15" s="53">
        <f t="shared" ref="G15:H15" si="12">G14/(G11+G12)</f>
        <v>0.53339529720928525</v>
      </c>
      <c r="H15" s="210">
        <f t="shared" si="12"/>
        <v>0.5001663583968059</v>
      </c>
      <c r="I15" s="51" t="str">
        <f>IF(H15+G15&gt;0,IF(H15&gt;G15,"▲",IF(H15=G15,"▬","▼")),IF(H15&gt;G15,"▼",IF(H15=G15,"▬","▲")))</f>
        <v>▼</v>
      </c>
      <c r="J15" s="50">
        <f t="shared" si="1"/>
        <v>-3.3228938812479347E-2</v>
      </c>
      <c r="K15" s="52">
        <f t="shared" si="2"/>
        <v>-6.229702246407598E-2</v>
      </c>
    </row>
    <row r="16" spans="3:19" x14ac:dyDescent="0.3">
      <c r="C16" s="242" t="s">
        <v>266</v>
      </c>
      <c r="D16" s="53">
        <f>'1.FinancialPosition'!C18/'1.FinancialPosition'!C35</f>
        <v>0.84186821648190535</v>
      </c>
      <c r="E16" s="53">
        <f>'1.FinancialPosition'!D18/'1.FinancialPosition'!D35</f>
        <v>0.79200171964004806</v>
      </c>
      <c r="F16" s="53">
        <f>'1.FinancialPosition'!E18/'1.FinancialPosition'!E35</f>
        <v>0.98314783704325914</v>
      </c>
      <c r="G16" s="53">
        <f>'1.FinancialPosition'!F18/'1.FinancialPosition'!F35</f>
        <v>0.9691063952649055</v>
      </c>
      <c r="H16" s="210">
        <f>'1.FinancialPosition'!G18/'1.FinancialPosition'!G35</f>
        <v>1.0399838104976142</v>
      </c>
      <c r="I16" s="51" t="str">
        <f>IF(H16+G16&gt;0,IF(H16&gt;G16,"▲",IF(H16=G16,"▬","▼")),IF(H16&gt;G16,"▼",IF(H16=G16,"▬","▲")))</f>
        <v>▲</v>
      </c>
      <c r="J16" s="50">
        <f t="shared" si="1"/>
        <v>7.087741523270874E-2</v>
      </c>
      <c r="K16" s="52">
        <f t="shared" si="2"/>
        <v>7.3136877002379475E-2</v>
      </c>
    </row>
    <row r="18" spans="3:12" x14ac:dyDescent="0.3">
      <c r="C18" s="224" t="s">
        <v>297</v>
      </c>
      <c r="D18" s="224"/>
      <c r="E18" s="224"/>
      <c r="F18" s="224"/>
      <c r="G18" s="224"/>
      <c r="H18" s="224"/>
      <c r="I18" s="224"/>
      <c r="J18" s="224"/>
      <c r="K18" s="224"/>
    </row>
    <row r="19" spans="3:12" x14ac:dyDescent="0.3">
      <c r="C19" s="224"/>
      <c r="D19" s="224"/>
      <c r="E19" s="224"/>
      <c r="F19" s="224"/>
      <c r="G19" s="224"/>
      <c r="H19" s="224"/>
      <c r="I19" s="224"/>
      <c r="J19" s="224"/>
      <c r="K19" s="224"/>
    </row>
    <row r="20" spans="3:12" ht="14.4" customHeight="1" x14ac:dyDescent="0.3">
      <c r="C20" s="224" t="s">
        <v>298</v>
      </c>
      <c r="D20" s="224"/>
      <c r="E20" s="224"/>
      <c r="F20" s="224"/>
      <c r="G20" s="224"/>
      <c r="H20" s="224"/>
      <c r="I20" s="224"/>
      <c r="J20" s="224"/>
      <c r="K20" s="224"/>
      <c r="L20" s="133"/>
    </row>
    <row r="21" spans="3:12" x14ac:dyDescent="0.3">
      <c r="C21" s="224"/>
      <c r="D21" s="224"/>
      <c r="E21" s="224"/>
      <c r="F21" s="224"/>
      <c r="G21" s="224"/>
      <c r="H21" s="224"/>
      <c r="I21" s="224"/>
      <c r="J21" s="224"/>
      <c r="K21" s="224"/>
      <c r="L21" s="133"/>
    </row>
    <row r="28" spans="3:12" x14ac:dyDescent="0.3">
      <c r="D28" s="245"/>
      <c r="E28" s="245"/>
      <c r="F28" s="245"/>
      <c r="G28" s="245"/>
      <c r="H28" s="245"/>
    </row>
    <row r="29" spans="3:12" x14ac:dyDescent="0.3">
      <c r="D29" s="245"/>
      <c r="E29" s="245"/>
      <c r="F29" s="245"/>
      <c r="G29" s="245"/>
      <c r="H29" s="245"/>
    </row>
    <row r="30" spans="3:12" x14ac:dyDescent="0.3">
      <c r="D30" s="245"/>
      <c r="E30" s="245"/>
      <c r="F30" s="245"/>
      <c r="G30" s="245"/>
      <c r="H30" s="245"/>
    </row>
    <row r="31" spans="3:12" x14ac:dyDescent="0.3">
      <c r="D31" s="245"/>
      <c r="E31" s="245"/>
      <c r="F31" s="245"/>
      <c r="G31" s="245"/>
      <c r="H31" s="245"/>
    </row>
    <row r="32" spans="3:12" x14ac:dyDescent="0.3">
      <c r="D32" s="245"/>
      <c r="E32" s="245"/>
      <c r="F32" s="245"/>
      <c r="G32" s="245"/>
      <c r="H32" s="245"/>
    </row>
    <row r="33" spans="4:8" x14ac:dyDescent="0.3">
      <c r="D33" s="245"/>
      <c r="E33" s="245"/>
      <c r="F33" s="245"/>
      <c r="G33" s="245"/>
      <c r="H33" s="245"/>
    </row>
    <row r="34" spans="4:8" x14ac:dyDescent="0.3">
      <c r="D34" s="245"/>
      <c r="E34" s="245"/>
      <c r="F34" s="245"/>
      <c r="G34" s="245"/>
      <c r="H34" s="245"/>
    </row>
    <row r="35" spans="4:8" x14ac:dyDescent="0.3">
      <c r="D35" s="245"/>
      <c r="E35" s="245"/>
      <c r="F35" s="245"/>
      <c r="G35" s="245"/>
      <c r="H35" s="245"/>
    </row>
    <row r="36" spans="4:8" x14ac:dyDescent="0.3">
      <c r="D36" s="245"/>
      <c r="E36" s="245"/>
      <c r="F36" s="245"/>
      <c r="G36" s="245"/>
      <c r="H36" s="245"/>
    </row>
    <row r="39" spans="4:8" x14ac:dyDescent="0.3">
      <c r="D39" s="245"/>
      <c r="E39" s="245"/>
      <c r="F39" s="245"/>
      <c r="G39" s="245"/>
      <c r="H39" s="245"/>
    </row>
    <row r="40" spans="4:8" x14ac:dyDescent="0.3">
      <c r="D40" s="245"/>
      <c r="E40" s="245"/>
      <c r="F40" s="245"/>
      <c r="G40" s="245"/>
      <c r="H40" s="245"/>
    </row>
    <row r="41" spans="4:8" x14ac:dyDescent="0.3">
      <c r="D41" s="245"/>
      <c r="E41" s="245"/>
      <c r="F41" s="245"/>
      <c r="G41" s="245"/>
      <c r="H41" s="245"/>
    </row>
    <row r="42" spans="4:8" x14ac:dyDescent="0.3">
      <c r="D42" s="245"/>
      <c r="E42" s="245"/>
      <c r="F42" s="245"/>
      <c r="G42" s="245"/>
      <c r="H42" s="245"/>
    </row>
    <row r="43" spans="4:8" x14ac:dyDescent="0.3">
      <c r="D43" s="245"/>
      <c r="E43" s="245"/>
      <c r="F43" s="245"/>
      <c r="G43" s="245"/>
      <c r="H43" s="245"/>
    </row>
    <row r="44" spans="4:8" x14ac:dyDescent="0.3">
      <c r="D44" s="245"/>
      <c r="E44" s="245"/>
      <c r="F44" s="245"/>
      <c r="G44" s="245"/>
      <c r="H44" s="245"/>
    </row>
    <row r="45" spans="4:8" x14ac:dyDescent="0.3">
      <c r="D45" s="245"/>
      <c r="E45" s="245"/>
      <c r="F45" s="245"/>
      <c r="G45" s="245"/>
      <c r="H45" s="245"/>
    </row>
    <row r="46" spans="4:8" x14ac:dyDescent="0.3">
      <c r="D46" s="245"/>
      <c r="E46" s="245"/>
      <c r="F46" s="245"/>
      <c r="G46" s="245"/>
      <c r="H46" s="245"/>
    </row>
    <row r="47" spans="4:8" x14ac:dyDescent="0.3">
      <c r="D47" s="245"/>
      <c r="E47" s="245"/>
      <c r="F47" s="245"/>
      <c r="G47" s="245"/>
      <c r="H47" s="245"/>
    </row>
    <row r="48" spans="4:8" x14ac:dyDescent="0.3">
      <c r="D48" s="245"/>
      <c r="E48" s="245"/>
      <c r="F48" s="245"/>
      <c r="G48" s="245"/>
      <c r="H48" s="245"/>
    </row>
    <row r="49" spans="4:8" x14ac:dyDescent="0.3">
      <c r="D49" s="245"/>
      <c r="E49" s="245"/>
      <c r="F49" s="245"/>
      <c r="G49" s="245"/>
      <c r="H49" s="245"/>
    </row>
    <row r="50" spans="4:8" x14ac:dyDescent="0.3">
      <c r="D50" s="245"/>
      <c r="E50" s="245"/>
      <c r="F50" s="245"/>
      <c r="G50" s="245"/>
      <c r="H50" s="245"/>
    </row>
    <row r="51" spans="4:8" x14ac:dyDescent="0.3">
      <c r="D51" s="245"/>
      <c r="E51" s="245"/>
      <c r="F51" s="245"/>
      <c r="G51" s="245"/>
      <c r="H51" s="245"/>
    </row>
    <row r="52" spans="4:8" x14ac:dyDescent="0.3">
      <c r="D52" s="245"/>
      <c r="E52" s="245"/>
      <c r="F52" s="245"/>
      <c r="G52" s="245"/>
      <c r="H52" s="245"/>
    </row>
    <row r="53" spans="4:8" x14ac:dyDescent="0.3">
      <c r="D53" s="245"/>
      <c r="E53" s="245"/>
      <c r="F53" s="245"/>
      <c r="G53" s="245"/>
      <c r="H53" s="245"/>
    </row>
    <row r="54" spans="4:8" x14ac:dyDescent="0.3">
      <c r="D54" s="245"/>
      <c r="E54" s="245"/>
      <c r="F54" s="245"/>
      <c r="G54" s="245"/>
      <c r="H54" s="245"/>
    </row>
  </sheetData>
  <mergeCells count="3">
    <mergeCell ref="I3:K3"/>
    <mergeCell ref="C18:K19"/>
    <mergeCell ref="C20:K21"/>
  </mergeCells>
  <conditionalFormatting sqref="I4:I5 I7 I9 I11:I14">
    <cfRule type="expression" dxfId="94" priority="22">
      <formula>H4=G4</formula>
    </cfRule>
    <cfRule type="expression" dxfId="93" priority="23">
      <formula>H4&lt;G4</formula>
    </cfRule>
    <cfRule type="expression" dxfId="92" priority="24">
      <formula>H4&gt;G4</formula>
    </cfRule>
  </conditionalFormatting>
  <conditionalFormatting sqref="I16">
    <cfRule type="expression" dxfId="91" priority="19">
      <formula>H16=G16</formula>
    </cfRule>
    <cfRule type="expression" dxfId="90" priority="20">
      <formula>H16&lt;G16</formula>
    </cfRule>
    <cfRule type="expression" dxfId="89" priority="21">
      <formula>H16&gt;G16</formula>
    </cfRule>
  </conditionalFormatting>
  <conditionalFormatting sqref="I6">
    <cfRule type="expression" dxfId="88" priority="13">
      <formula>H6=G6</formula>
    </cfRule>
    <cfRule type="expression" dxfId="87" priority="14">
      <formula>H6&lt;G6</formula>
    </cfRule>
    <cfRule type="expression" dxfId="86" priority="15">
      <formula>H6&gt;G6</formula>
    </cfRule>
  </conditionalFormatting>
  <conditionalFormatting sqref="I15">
    <cfRule type="expression" dxfId="85" priority="73">
      <formula>H15=G15</formula>
    </cfRule>
    <cfRule type="expression" dxfId="84" priority="74">
      <formula>H15&gt;G15</formula>
    </cfRule>
    <cfRule type="expression" dxfId="83" priority="75">
      <formula>#REF!&lt;G15</formula>
    </cfRule>
  </conditionalFormatting>
  <conditionalFormatting sqref="I8">
    <cfRule type="expression" dxfId="82" priority="7">
      <formula>H8=G8</formula>
    </cfRule>
    <cfRule type="expression" dxfId="81" priority="8">
      <formula>H8&lt;G8</formula>
    </cfRule>
    <cfRule type="expression" dxfId="80" priority="9">
      <formula>H8&gt;G8</formula>
    </cfRule>
  </conditionalFormatting>
  <conditionalFormatting sqref="I10">
    <cfRule type="expression" dxfId="2" priority="1">
      <formula>H10=G10</formula>
    </cfRule>
    <cfRule type="expression" dxfId="1" priority="2">
      <formula>H10&lt;G10</formula>
    </cfRule>
    <cfRule type="expression" dxfId="0" priority="3">
      <formula>H10&gt;G10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82F6C-5D64-4925-8D23-60F22B83DC34}">
  <dimension ref="A1:J33"/>
  <sheetViews>
    <sheetView zoomScale="90" zoomScaleNormal="90" workbookViewId="0">
      <pane xSplit="2" ySplit="3" topLeftCell="C19" activePane="bottomRight" state="frozen"/>
      <selection pane="topRight" activeCell="C1" sqref="C1"/>
      <selection pane="bottomLeft" activeCell="A4" sqref="A4"/>
      <selection pane="bottomRight" activeCell="L23" sqref="L23"/>
    </sheetView>
  </sheetViews>
  <sheetFormatPr defaultColWidth="9.109375" defaultRowHeight="14.4" x14ac:dyDescent="0.3"/>
  <cols>
    <col min="1" max="1" width="42.109375" style="43" customWidth="1"/>
    <col min="2" max="2" width="14.33203125" style="43" customWidth="1"/>
    <col min="3" max="3" width="53.6640625" style="43" customWidth="1"/>
    <col min="4" max="8" width="8" style="43" bestFit="1" customWidth="1"/>
    <col min="9" max="9" width="17.6640625" style="43" bestFit="1" customWidth="1"/>
    <col min="10" max="10" width="28.44140625" style="43" bestFit="1" customWidth="1"/>
    <col min="11" max="16384" width="9.109375" style="43"/>
  </cols>
  <sheetData>
    <row r="1" spans="1:10" ht="24" customHeight="1" x14ac:dyDescent="0.3">
      <c r="A1" s="225" t="s">
        <v>164</v>
      </c>
      <c r="B1" s="230" t="s">
        <v>214</v>
      </c>
      <c r="C1" s="230" t="s">
        <v>233</v>
      </c>
      <c r="D1" s="229"/>
      <c r="E1" s="229"/>
      <c r="F1" s="229"/>
      <c r="G1" s="229"/>
      <c r="H1" s="183"/>
      <c r="I1" s="227" t="s">
        <v>254</v>
      </c>
      <c r="J1" s="225" t="s">
        <v>242</v>
      </c>
    </row>
    <row r="2" spans="1:10" x14ac:dyDescent="0.3">
      <c r="A2" s="226"/>
      <c r="B2" s="228"/>
      <c r="C2" s="228"/>
      <c r="D2" s="184">
        <v>2016</v>
      </c>
      <c r="E2" s="184">
        <v>2017</v>
      </c>
      <c r="F2" s="184">
        <v>2018</v>
      </c>
      <c r="G2" s="184">
        <f t="shared" ref="G2:H2" si="0">F2+1</f>
        <v>2019</v>
      </c>
      <c r="H2" s="184">
        <f t="shared" si="0"/>
        <v>2020</v>
      </c>
      <c r="I2" s="228"/>
      <c r="J2" s="226"/>
    </row>
    <row r="3" spans="1:10" ht="9.75" customHeight="1" x14ac:dyDescent="0.3">
      <c r="A3" s="185"/>
      <c r="B3" s="186"/>
      <c r="C3" s="186"/>
      <c r="D3" s="185"/>
      <c r="E3" s="185"/>
      <c r="F3" s="185"/>
      <c r="G3" s="185"/>
      <c r="H3" s="185"/>
      <c r="I3" s="186"/>
      <c r="J3" s="185"/>
    </row>
    <row r="4" spans="1:10" x14ac:dyDescent="0.3">
      <c r="A4" s="187" t="s">
        <v>143</v>
      </c>
      <c r="B4" s="196" t="s">
        <v>206</v>
      </c>
      <c r="C4" s="191" t="s">
        <v>217</v>
      </c>
      <c r="D4" s="200">
        <v>1</v>
      </c>
      <c r="E4" s="200">
        <v>1</v>
      </c>
      <c r="F4" s="200">
        <v>1</v>
      </c>
      <c r="G4" s="200">
        <v>1</v>
      </c>
      <c r="H4" s="200">
        <v>1</v>
      </c>
      <c r="I4" s="195" t="s">
        <v>203</v>
      </c>
      <c r="J4" s="203" t="s">
        <v>239</v>
      </c>
    </row>
    <row r="5" spans="1:10" ht="28.8" x14ac:dyDescent="0.3">
      <c r="A5" s="187" t="s">
        <v>141</v>
      </c>
      <c r="B5" s="196" t="s">
        <v>207</v>
      </c>
      <c r="C5" s="191" t="s">
        <v>220</v>
      </c>
      <c r="D5" s="200">
        <v>1</v>
      </c>
      <c r="E5" s="200">
        <v>1</v>
      </c>
      <c r="F5" s="200">
        <v>1</v>
      </c>
      <c r="G5" s="200">
        <v>1</v>
      </c>
      <c r="H5" s="200">
        <v>0</v>
      </c>
      <c r="I5" s="195" t="s">
        <v>203</v>
      </c>
      <c r="J5" s="203" t="s">
        <v>239</v>
      </c>
    </row>
    <row r="6" spans="1:10" x14ac:dyDescent="0.3">
      <c r="A6" s="187" t="s">
        <v>144</v>
      </c>
      <c r="B6" s="196" t="s">
        <v>208</v>
      </c>
      <c r="C6" s="191" t="s">
        <v>223</v>
      </c>
      <c r="D6" s="200">
        <v>1</v>
      </c>
      <c r="E6" s="200">
        <v>1</v>
      </c>
      <c r="F6" s="200">
        <v>1</v>
      </c>
      <c r="G6" s="200">
        <v>1</v>
      </c>
      <c r="H6" s="200">
        <v>1</v>
      </c>
      <c r="I6" s="195" t="s">
        <v>203</v>
      </c>
      <c r="J6" s="203" t="s">
        <v>239</v>
      </c>
    </row>
    <row r="7" spans="1:10" x14ac:dyDescent="0.3">
      <c r="A7" s="187" t="s">
        <v>145</v>
      </c>
      <c r="B7" s="196" t="s">
        <v>208</v>
      </c>
      <c r="C7" s="191" t="s">
        <v>219</v>
      </c>
      <c r="D7" s="200">
        <v>0.99235795297372009</v>
      </c>
      <c r="E7" s="200">
        <v>0.99235795297372009</v>
      </c>
      <c r="F7" s="200">
        <v>0.99235795297372009</v>
      </c>
      <c r="G7" s="200">
        <v>0.99235795297372009</v>
      </c>
      <c r="H7" s="200">
        <v>0.99235795297372009</v>
      </c>
      <c r="I7" s="195" t="s">
        <v>205</v>
      </c>
      <c r="J7" s="203" t="s">
        <v>239</v>
      </c>
    </row>
    <row r="8" spans="1:10" x14ac:dyDescent="0.3">
      <c r="A8" s="187" t="s">
        <v>146</v>
      </c>
      <c r="B8" s="196" t="s">
        <v>208</v>
      </c>
      <c r="C8" s="191" t="s">
        <v>222</v>
      </c>
      <c r="D8" s="200">
        <v>0.99</v>
      </c>
      <c r="E8" s="200">
        <v>0.99</v>
      </c>
      <c r="F8" s="200">
        <v>0.99</v>
      </c>
      <c r="G8" s="200">
        <v>0.99</v>
      </c>
      <c r="H8" s="200">
        <v>0.995</v>
      </c>
      <c r="I8" s="195" t="s">
        <v>203</v>
      </c>
      <c r="J8" s="203" t="s">
        <v>239</v>
      </c>
    </row>
    <row r="9" spans="1:10" x14ac:dyDescent="0.3">
      <c r="A9" s="187" t="s">
        <v>147</v>
      </c>
      <c r="B9" s="196" t="s">
        <v>208</v>
      </c>
      <c r="C9" s="191" t="s">
        <v>226</v>
      </c>
      <c r="D9" s="200">
        <v>0.99</v>
      </c>
      <c r="E9" s="200">
        <v>0.99</v>
      </c>
      <c r="F9" s="200">
        <v>0.99</v>
      </c>
      <c r="G9" s="200">
        <v>0.99860000000000004</v>
      </c>
      <c r="H9" s="200">
        <v>0.99860000000000004</v>
      </c>
      <c r="I9" s="195" t="s">
        <v>203</v>
      </c>
      <c r="J9" s="203" t="s">
        <v>239</v>
      </c>
    </row>
    <row r="10" spans="1:10" x14ac:dyDescent="0.3">
      <c r="A10" s="187" t="s">
        <v>136</v>
      </c>
      <c r="B10" s="196" t="s">
        <v>209</v>
      </c>
      <c r="C10" s="191" t="s">
        <v>224</v>
      </c>
      <c r="D10" s="200">
        <v>0.62619999999999998</v>
      </c>
      <c r="E10" s="200">
        <v>0.62619999999999998</v>
      </c>
      <c r="F10" s="200">
        <v>0.62619999999999998</v>
      </c>
      <c r="G10" s="200">
        <v>0.62619999999999998</v>
      </c>
      <c r="H10" s="200">
        <v>0.62619999999999998</v>
      </c>
      <c r="I10" s="195" t="s">
        <v>203</v>
      </c>
      <c r="J10" s="203" t="s">
        <v>239</v>
      </c>
    </row>
    <row r="11" spans="1:10" x14ac:dyDescent="0.3">
      <c r="A11" s="187" t="s">
        <v>137</v>
      </c>
      <c r="B11" s="196" t="s">
        <v>209</v>
      </c>
      <c r="C11" s="191" t="s">
        <v>224</v>
      </c>
      <c r="D11" s="200">
        <v>0.62619999999999998</v>
      </c>
      <c r="E11" s="200">
        <v>0.62619999999999998</v>
      </c>
      <c r="F11" s="200">
        <v>0.62619999999999998</v>
      </c>
      <c r="G11" s="200">
        <v>0.62619999999999998</v>
      </c>
      <c r="H11" s="200">
        <v>0.62619999999999998</v>
      </c>
      <c r="I11" s="195" t="s">
        <v>203</v>
      </c>
      <c r="J11" s="203" t="s">
        <v>239</v>
      </c>
    </row>
    <row r="12" spans="1:10" x14ac:dyDescent="0.3">
      <c r="A12" s="187" t="s">
        <v>142</v>
      </c>
      <c r="B12" s="196" t="s">
        <v>208</v>
      </c>
      <c r="C12" s="191" t="s">
        <v>217</v>
      </c>
      <c r="D12" s="200">
        <v>0</v>
      </c>
      <c r="E12" s="200">
        <v>0.99</v>
      </c>
      <c r="F12" s="200">
        <v>0.99</v>
      </c>
      <c r="G12" s="200">
        <v>0.99860000000000004</v>
      </c>
      <c r="H12" s="200">
        <v>0.99860000000000004</v>
      </c>
      <c r="I12" s="195" t="s">
        <v>204</v>
      </c>
      <c r="J12" s="203" t="s">
        <v>239</v>
      </c>
    </row>
    <row r="13" spans="1:10" x14ac:dyDescent="0.3">
      <c r="A13" s="187" t="s">
        <v>148</v>
      </c>
      <c r="B13" s="196" t="s">
        <v>208</v>
      </c>
      <c r="C13" s="191" t="s">
        <v>238</v>
      </c>
      <c r="D13" s="200">
        <v>0.44840000000000002</v>
      </c>
      <c r="E13" s="200">
        <v>0.44840000000000002</v>
      </c>
      <c r="F13" s="200">
        <v>0.44840000000000002</v>
      </c>
      <c r="G13" s="200">
        <v>0.44840000000000002</v>
      </c>
      <c r="H13" s="200">
        <v>0.17547860402132892</v>
      </c>
      <c r="I13" s="195" t="s">
        <v>296</v>
      </c>
      <c r="J13" s="203" t="s">
        <v>240</v>
      </c>
    </row>
    <row r="14" spans="1:10" x14ac:dyDescent="0.3">
      <c r="A14" s="187" t="s">
        <v>149</v>
      </c>
      <c r="B14" s="196" t="s">
        <v>208</v>
      </c>
      <c r="C14" s="191" t="s">
        <v>235</v>
      </c>
      <c r="D14" s="200">
        <v>0.33335365853658538</v>
      </c>
      <c r="E14" s="200">
        <v>0.33335365853658538</v>
      </c>
      <c r="F14" s="200">
        <v>0.33335365853658538</v>
      </c>
      <c r="G14" s="200">
        <v>0.33335365853658538</v>
      </c>
      <c r="H14" s="200">
        <v>0.33335365853658538</v>
      </c>
      <c r="I14" s="195" t="s">
        <v>203</v>
      </c>
      <c r="J14" s="203" t="s">
        <v>240</v>
      </c>
    </row>
    <row r="15" spans="1:10" x14ac:dyDescent="0.3">
      <c r="A15" s="188" t="s">
        <v>150</v>
      </c>
      <c r="B15" s="197" t="s">
        <v>210</v>
      </c>
      <c r="C15" s="192" t="s">
        <v>236</v>
      </c>
      <c r="D15" s="200">
        <v>1.9541684240123716E-2</v>
      </c>
      <c r="E15" s="200">
        <v>1.9541684240123716E-2</v>
      </c>
      <c r="F15" s="200">
        <v>1.9541684240123716E-2</v>
      </c>
      <c r="G15" s="200">
        <v>1.9541684240123716E-2</v>
      </c>
      <c r="H15" s="200">
        <v>1.9541684240123716E-2</v>
      </c>
      <c r="I15" s="195" t="s">
        <v>203</v>
      </c>
      <c r="J15" s="203" t="s">
        <v>241</v>
      </c>
    </row>
    <row r="16" spans="1:10" x14ac:dyDescent="0.3">
      <c r="A16" s="187" t="s">
        <v>151</v>
      </c>
      <c r="B16" s="196" t="s">
        <v>208</v>
      </c>
      <c r="C16" s="191" t="s">
        <v>237</v>
      </c>
      <c r="D16" s="200">
        <v>3.7904761904761906E-2</v>
      </c>
      <c r="E16" s="200">
        <v>3.7904761904761906E-2</v>
      </c>
      <c r="F16" s="200">
        <v>3.7904761904761906E-2</v>
      </c>
      <c r="G16" s="200">
        <v>3.7904761904761906E-2</v>
      </c>
      <c r="H16" s="200">
        <v>3.7904761904761906E-2</v>
      </c>
      <c r="I16" s="195" t="s">
        <v>203</v>
      </c>
      <c r="J16" s="203" t="s">
        <v>241</v>
      </c>
    </row>
    <row r="17" spans="1:10" x14ac:dyDescent="0.3">
      <c r="A17" s="187" t="s">
        <v>152</v>
      </c>
      <c r="B17" s="196" t="s">
        <v>206</v>
      </c>
      <c r="C17" s="191" t="s">
        <v>217</v>
      </c>
      <c r="D17" s="200">
        <v>0.17587939698492464</v>
      </c>
      <c r="E17" s="200">
        <v>0.17587939698492464</v>
      </c>
      <c r="F17" s="200">
        <v>0.17587939698492464</v>
      </c>
      <c r="G17" s="200">
        <v>0.17587939698492464</v>
      </c>
      <c r="H17" s="200">
        <v>0.17587939698492464</v>
      </c>
      <c r="I17" s="195" t="s">
        <v>204</v>
      </c>
      <c r="J17" s="203" t="s">
        <v>240</v>
      </c>
    </row>
    <row r="18" spans="1:10" ht="43.2" x14ac:dyDescent="0.3">
      <c r="A18" s="187" t="s">
        <v>140</v>
      </c>
      <c r="B18" s="196" t="s">
        <v>208</v>
      </c>
      <c r="C18" s="191" t="s">
        <v>218</v>
      </c>
      <c r="D18" s="200">
        <v>0.17587921889975255</v>
      </c>
      <c r="E18" s="200">
        <v>0.17587921889975255</v>
      </c>
      <c r="F18" s="200">
        <v>0.17587921889975255</v>
      </c>
      <c r="G18" s="200">
        <v>0</v>
      </c>
      <c r="H18" s="200">
        <v>0</v>
      </c>
      <c r="I18" s="195" t="s">
        <v>306</v>
      </c>
      <c r="J18" s="203" t="s">
        <v>240</v>
      </c>
    </row>
    <row r="19" spans="1:10" x14ac:dyDescent="0.3">
      <c r="A19" s="187" t="s">
        <v>153</v>
      </c>
      <c r="B19" s="196" t="s">
        <v>208</v>
      </c>
      <c r="C19" s="191" t="s">
        <v>227</v>
      </c>
      <c r="D19" s="200">
        <v>0.17587872600451854</v>
      </c>
      <c r="E19" s="200">
        <v>0.17587872600451854</v>
      </c>
      <c r="F19" s="200">
        <v>0.17587872600451854</v>
      </c>
      <c r="G19" s="200">
        <v>0.17587872600451854</v>
      </c>
      <c r="H19" s="200">
        <v>0.17587872600451854</v>
      </c>
      <c r="I19" s="195" t="s">
        <v>204</v>
      </c>
      <c r="J19" s="203" t="s">
        <v>240</v>
      </c>
    </row>
    <row r="20" spans="1:10" ht="15" customHeight="1" x14ac:dyDescent="0.3">
      <c r="A20" s="187" t="s">
        <v>135</v>
      </c>
      <c r="B20" s="196" t="s">
        <v>211</v>
      </c>
      <c r="C20" s="191" t="s">
        <v>228</v>
      </c>
      <c r="D20" s="200">
        <v>0.17587872600451854</v>
      </c>
      <c r="E20" s="200">
        <v>0.17587872600451854</v>
      </c>
      <c r="F20" s="200">
        <v>0.17587872600451854</v>
      </c>
      <c r="G20" s="200">
        <v>0.17587872600451854</v>
      </c>
      <c r="H20" s="200">
        <v>0.17587872600451854</v>
      </c>
      <c r="I20" s="195" t="s">
        <v>204</v>
      </c>
      <c r="J20" s="203" t="s">
        <v>240</v>
      </c>
    </row>
    <row r="21" spans="1:10" x14ac:dyDescent="0.3">
      <c r="A21" s="187" t="s">
        <v>138</v>
      </c>
      <c r="B21" s="196" t="s">
        <v>208</v>
      </c>
      <c r="C21" s="191" t="s">
        <v>221</v>
      </c>
      <c r="D21" s="200">
        <v>0.175875104953579</v>
      </c>
      <c r="E21" s="200">
        <v>0.175875104953579</v>
      </c>
      <c r="F21" s="200">
        <v>0.175875104953579</v>
      </c>
      <c r="G21" s="200">
        <v>0.175875104953579</v>
      </c>
      <c r="H21" s="200">
        <v>0.175875104953579</v>
      </c>
      <c r="I21" s="195" t="s">
        <v>204</v>
      </c>
      <c r="J21" s="203" t="s">
        <v>240</v>
      </c>
    </row>
    <row r="22" spans="1:10" x14ac:dyDescent="0.3">
      <c r="A22" s="187" t="s">
        <v>154</v>
      </c>
      <c r="B22" s="196" t="s">
        <v>208</v>
      </c>
      <c r="C22" s="191" t="s">
        <v>234</v>
      </c>
      <c r="D22" s="200">
        <v>0.12311557788944724</v>
      </c>
      <c r="E22" s="200">
        <v>0.12311557788944724</v>
      </c>
      <c r="F22" s="200">
        <v>0.12311557788944724</v>
      </c>
      <c r="G22" s="200">
        <v>0.12311557788944724</v>
      </c>
      <c r="H22" s="200">
        <v>0.12311557788944724</v>
      </c>
      <c r="I22" s="195" t="s">
        <v>204</v>
      </c>
      <c r="J22" s="203" t="s">
        <v>240</v>
      </c>
    </row>
    <row r="23" spans="1:10" x14ac:dyDescent="0.3">
      <c r="A23" s="187" t="s">
        <v>155</v>
      </c>
      <c r="B23" s="196" t="s">
        <v>208</v>
      </c>
      <c r="C23" s="191" t="s">
        <v>229</v>
      </c>
      <c r="D23" s="200">
        <v>0.17468192023949536</v>
      </c>
      <c r="E23" s="200">
        <v>0.17468192023949536</v>
      </c>
      <c r="F23" s="200">
        <v>0.17468192023949536</v>
      </c>
      <c r="G23" s="200">
        <v>0.17468192023949536</v>
      </c>
      <c r="H23" s="200">
        <v>0.17468192023949536</v>
      </c>
      <c r="I23" s="195" t="s">
        <v>204</v>
      </c>
      <c r="J23" s="203" t="s">
        <v>240</v>
      </c>
    </row>
    <row r="24" spans="1:10" x14ac:dyDescent="0.3">
      <c r="A24" s="187" t="s">
        <v>216</v>
      </c>
      <c r="B24" s="196" t="s">
        <v>212</v>
      </c>
      <c r="C24" s="191" t="s">
        <v>225</v>
      </c>
      <c r="D24" s="200">
        <v>0.15721372821554583</v>
      </c>
      <c r="E24" s="200">
        <v>0.15721372821554583</v>
      </c>
      <c r="F24" s="200">
        <v>0.15721372821554583</v>
      </c>
      <c r="G24" s="200">
        <v>0.15721372821554583</v>
      </c>
      <c r="H24" s="200">
        <v>0</v>
      </c>
      <c r="I24" s="195" t="s">
        <v>204</v>
      </c>
      <c r="J24" s="203" t="s">
        <v>240</v>
      </c>
    </row>
    <row r="25" spans="1:10" ht="28.8" x14ac:dyDescent="0.3">
      <c r="A25" s="187" t="s">
        <v>139</v>
      </c>
      <c r="B25" s="196" t="s">
        <v>207</v>
      </c>
      <c r="C25" s="191" t="s">
        <v>220</v>
      </c>
      <c r="D25" s="200">
        <v>0.17468192023949536</v>
      </c>
      <c r="E25" s="200">
        <v>0.17468192023949536</v>
      </c>
      <c r="F25" s="200">
        <v>0.17468192023949536</v>
      </c>
      <c r="G25" s="200">
        <v>0.17468192023949536</v>
      </c>
      <c r="H25" s="200">
        <v>0</v>
      </c>
      <c r="I25" s="195" t="s">
        <v>204</v>
      </c>
      <c r="J25" s="203" t="s">
        <v>240</v>
      </c>
    </row>
    <row r="26" spans="1:10" ht="28.8" x14ac:dyDescent="0.3">
      <c r="A26" s="187" t="s">
        <v>230</v>
      </c>
      <c r="B26" s="196" t="s">
        <v>256</v>
      </c>
      <c r="C26" s="191" t="s">
        <v>225</v>
      </c>
      <c r="D26" s="200">
        <v>0.15628791403827649</v>
      </c>
      <c r="E26" s="200">
        <v>0.15628791403827649</v>
      </c>
      <c r="F26" s="200">
        <v>0.15628791403827649</v>
      </c>
      <c r="G26" s="200">
        <v>0.15628791403827649</v>
      </c>
      <c r="H26" s="200">
        <v>0</v>
      </c>
      <c r="I26" s="195" t="s">
        <v>204</v>
      </c>
      <c r="J26" s="203" t="s">
        <v>240</v>
      </c>
    </row>
    <row r="27" spans="1:10" x14ac:dyDescent="0.3">
      <c r="A27" s="187" t="s">
        <v>202</v>
      </c>
      <c r="B27" s="196" t="s">
        <v>208</v>
      </c>
      <c r="C27" s="191" t="s">
        <v>232</v>
      </c>
      <c r="D27" s="200">
        <v>0.17474348888413971</v>
      </c>
      <c r="E27" s="200">
        <v>0.17474348888413971</v>
      </c>
      <c r="F27" s="200">
        <v>0.17474348888413971</v>
      </c>
      <c r="G27" s="200">
        <v>0.17474348888413971</v>
      </c>
      <c r="H27" s="200">
        <v>0.17474348888413971</v>
      </c>
      <c r="I27" s="195" t="s">
        <v>204</v>
      </c>
      <c r="J27" s="203" t="s">
        <v>240</v>
      </c>
    </row>
    <row r="28" spans="1:10" x14ac:dyDescent="0.3">
      <c r="A28" s="187" t="s">
        <v>201</v>
      </c>
      <c r="B28" s="196" t="s">
        <v>208</v>
      </c>
      <c r="C28" s="191" t="s">
        <v>305</v>
      </c>
      <c r="D28" s="200">
        <v>0</v>
      </c>
      <c r="E28" s="200">
        <v>0.1168385115541867</v>
      </c>
      <c r="F28" s="200">
        <v>0.1168385115541867</v>
      </c>
      <c r="G28" s="200">
        <v>0.1168385115541867</v>
      </c>
      <c r="H28" s="200">
        <v>0.1168385115541867</v>
      </c>
      <c r="I28" s="195" t="s">
        <v>204</v>
      </c>
      <c r="J28" s="203" t="s">
        <v>240</v>
      </c>
    </row>
    <row r="29" spans="1:10" x14ac:dyDescent="0.3">
      <c r="A29" s="187" t="s">
        <v>215</v>
      </c>
      <c r="B29" s="196" t="s">
        <v>213</v>
      </c>
      <c r="C29" s="191" t="s">
        <v>231</v>
      </c>
      <c r="D29" s="200">
        <v>0</v>
      </c>
      <c r="E29" s="200">
        <v>0.12793177356315658</v>
      </c>
      <c r="F29" s="200">
        <v>0.12793177356315658</v>
      </c>
      <c r="G29" s="200">
        <v>0.12793177356315658</v>
      </c>
      <c r="H29" s="200">
        <v>0.12793177356315658</v>
      </c>
      <c r="I29" s="195" t="s">
        <v>204</v>
      </c>
      <c r="J29" s="203" t="s">
        <v>240</v>
      </c>
    </row>
    <row r="30" spans="1:10" x14ac:dyDescent="0.3">
      <c r="A30" s="187" t="s">
        <v>300</v>
      </c>
      <c r="B30" s="196"/>
      <c r="C30" s="191" t="s">
        <v>304</v>
      </c>
      <c r="D30" s="200">
        <v>0</v>
      </c>
      <c r="E30" s="200">
        <v>0</v>
      </c>
      <c r="F30" s="200">
        <v>0</v>
      </c>
      <c r="G30" s="200">
        <v>0</v>
      </c>
      <c r="H30" s="200">
        <v>0.17587900000000001</v>
      </c>
      <c r="I30" s="195" t="s">
        <v>204</v>
      </c>
      <c r="J30" s="203" t="s">
        <v>240</v>
      </c>
    </row>
    <row r="31" spans="1:10" ht="57.6" x14ac:dyDescent="0.3">
      <c r="A31" s="187" t="s">
        <v>301</v>
      </c>
      <c r="B31" s="196"/>
      <c r="C31" s="191" t="s">
        <v>303</v>
      </c>
      <c r="D31" s="200">
        <v>0</v>
      </c>
      <c r="E31" s="200">
        <v>0</v>
      </c>
      <c r="F31" s="200">
        <v>0</v>
      </c>
      <c r="G31" s="200">
        <v>4.379290113344117E-2</v>
      </c>
      <c r="H31" s="200">
        <v>0.14069999999999999</v>
      </c>
      <c r="I31" s="195" t="s">
        <v>302</v>
      </c>
      <c r="J31" s="203" t="s">
        <v>240</v>
      </c>
    </row>
    <row r="32" spans="1:10" x14ac:dyDescent="0.3">
      <c r="A32" s="189"/>
      <c r="B32" s="198"/>
      <c r="C32" s="193"/>
      <c r="D32" s="201"/>
      <c r="E32" s="201"/>
      <c r="F32" s="201"/>
      <c r="G32" s="201"/>
      <c r="H32" s="201"/>
      <c r="I32" s="193"/>
      <c r="J32" s="204"/>
    </row>
    <row r="33" spans="1:10" x14ac:dyDescent="0.3">
      <c r="A33" s="190"/>
      <c r="B33" s="199"/>
      <c r="C33" s="194"/>
      <c r="D33" s="202"/>
      <c r="E33" s="202"/>
      <c r="F33" s="202"/>
      <c r="G33" s="202"/>
      <c r="H33" s="202"/>
      <c r="I33" s="194"/>
      <c r="J33" s="202"/>
    </row>
  </sheetData>
  <autoFilter ref="A3:J3" xr:uid="{46110F78-F51A-4780-BFC3-4EE66FE8D47B}"/>
  <mergeCells count="6">
    <mergeCell ref="A1:A2"/>
    <mergeCell ref="I1:I2"/>
    <mergeCell ref="J1:J2"/>
    <mergeCell ref="D1:G1"/>
    <mergeCell ref="B1:B2"/>
    <mergeCell ref="C1:C2"/>
  </mergeCells>
  <conditionalFormatting sqref="D4:H28 D31:H31">
    <cfRule type="cellIs" dxfId="79" priority="3" operator="equal">
      <formula>0</formula>
    </cfRule>
  </conditionalFormatting>
  <conditionalFormatting sqref="D29:H30">
    <cfRule type="cellIs" dxfId="78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K42"/>
  <sheetViews>
    <sheetView showGridLines="0" zoomScale="96" zoomScaleNormal="96" workbookViewId="0">
      <pane xSplit="2" ySplit="3" topLeftCell="C19" activePane="bottomRight" state="frozen"/>
      <selection pane="topRight" activeCell="C1" sqref="C1"/>
      <selection pane="bottomLeft" activeCell="A5" sqref="A5"/>
      <selection pane="bottomRight" activeCell="N19" sqref="N19"/>
    </sheetView>
  </sheetViews>
  <sheetFormatPr defaultColWidth="9.109375" defaultRowHeight="14.4" x14ac:dyDescent="0.3"/>
  <cols>
    <col min="1" max="1" width="4.5546875" style="164" customWidth="1"/>
    <col min="2" max="2" width="47" style="164" bestFit="1" customWidth="1"/>
    <col min="3" max="3" width="7.88671875" style="164" bestFit="1" customWidth="1"/>
    <col min="4" max="4" width="8" style="164" bestFit="1" customWidth="1"/>
    <col min="5" max="5" width="7.88671875" style="164" bestFit="1" customWidth="1"/>
    <col min="6" max="6" width="8.109375" style="164" bestFit="1" customWidth="1"/>
    <col min="7" max="7" width="7.5546875" style="164" bestFit="1" customWidth="1"/>
    <col min="8" max="8" width="7.6640625" style="164" bestFit="1" customWidth="1"/>
    <col min="9" max="9" width="7.44140625" style="164" bestFit="1" customWidth="1"/>
    <col min="10" max="10" width="3" style="164" bestFit="1" customWidth="1"/>
    <col min="11" max="11" width="7.33203125" style="164" bestFit="1" customWidth="1"/>
    <col min="12" max="12" width="9.109375" style="164"/>
    <col min="13" max="13" width="13.6640625" style="164" bestFit="1" customWidth="1"/>
    <col min="14" max="14" width="31.33203125" style="164" customWidth="1"/>
    <col min="15" max="16384" width="9.109375" style="164"/>
  </cols>
  <sheetData>
    <row r="2" spans="2:11" ht="15" thickBot="1" x14ac:dyDescent="0.35">
      <c r="I2" s="165" t="s">
        <v>156</v>
      </c>
      <c r="J2" s="166"/>
    </row>
    <row r="3" spans="2:11" ht="29.4" thickBot="1" x14ac:dyDescent="0.35">
      <c r="B3" s="135" t="s">
        <v>0</v>
      </c>
      <c r="C3" s="136">
        <v>2016</v>
      </c>
      <c r="D3" s="136">
        <f>C3+1</f>
        <v>2017</v>
      </c>
      <c r="E3" s="136">
        <f t="shared" ref="E3:G3" si="0">D3+1</f>
        <v>2018</v>
      </c>
      <c r="F3" s="136">
        <f t="shared" si="0"/>
        <v>2019</v>
      </c>
      <c r="G3" s="136">
        <f t="shared" si="0"/>
        <v>2020</v>
      </c>
      <c r="H3" s="137" t="s">
        <v>272</v>
      </c>
      <c r="I3" s="231" t="str">
        <f>CONCATENATE(G3," vs. ",F3)</f>
        <v>2020 vs. 2019</v>
      </c>
      <c r="J3" s="231"/>
      <c r="K3" s="231"/>
    </row>
    <row r="4" spans="2:11" x14ac:dyDescent="0.3">
      <c r="B4" s="167" t="s">
        <v>1</v>
      </c>
      <c r="C4" s="168">
        <v>195416</v>
      </c>
      <c r="D4" s="168">
        <v>183416</v>
      </c>
      <c r="E4" s="168">
        <v>172357</v>
      </c>
      <c r="F4" s="168">
        <v>157094</v>
      </c>
      <c r="G4" s="168">
        <v>144757</v>
      </c>
      <c r="H4" s="138">
        <f>G4/$G$19</f>
        <v>0.5178826332566534</v>
      </c>
      <c r="I4" s="168">
        <f>G4-F4</f>
        <v>-12337</v>
      </c>
      <c r="J4" s="169" t="str">
        <f>IF(G4&gt;F4,"▲",IF(G4=F4,"▬","▼"))</f>
        <v>▼</v>
      </c>
      <c r="K4" s="169">
        <f>G4/F4-100%</f>
        <v>-7.8532598316931268E-2</v>
      </c>
    </row>
    <row r="5" spans="2:11" x14ac:dyDescent="0.3">
      <c r="B5" s="167" t="s">
        <v>2</v>
      </c>
      <c r="C5" s="168">
        <v>45680</v>
      </c>
      <c r="D5" s="168">
        <v>49859</v>
      </c>
      <c r="E5" s="168">
        <v>18034</v>
      </c>
      <c r="F5" s="168">
        <v>13433</v>
      </c>
      <c r="G5" s="168">
        <v>11885</v>
      </c>
      <c r="H5" s="138">
        <f>G5/$G$19</f>
        <v>4.2519775183620316E-2</v>
      </c>
      <c r="I5" s="168">
        <f t="shared" ref="I5:I7" si="1">G5-F5</f>
        <v>-1548</v>
      </c>
      <c r="J5" s="169" t="str">
        <f t="shared" ref="J5:J7" si="2">IF(G5&gt;F5,"▲",IF(G5=F5,"▬","▼"))</f>
        <v>▼</v>
      </c>
      <c r="K5" s="169">
        <f t="shared" ref="K5:K7" si="3">G5/F5-100%</f>
        <v>-0.11523859152832572</v>
      </c>
    </row>
    <row r="6" spans="2:11" x14ac:dyDescent="0.3">
      <c r="B6" s="167" t="s">
        <v>267</v>
      </c>
      <c r="C6" s="168">
        <v>144</v>
      </c>
      <c r="D6" s="168">
        <v>143</v>
      </c>
      <c r="E6" s="168">
        <v>143</v>
      </c>
      <c r="F6" s="168">
        <v>143</v>
      </c>
      <c r="G6" s="168">
        <v>143</v>
      </c>
      <c r="H6" s="138">
        <f>G6/$G$19</f>
        <v>5.1159679017734165E-4</v>
      </c>
      <c r="I6" s="168">
        <f t="shared" si="1"/>
        <v>0</v>
      </c>
      <c r="J6" s="169" t="str">
        <f t="shared" si="2"/>
        <v>▬</v>
      </c>
      <c r="K6" s="169">
        <f t="shared" si="3"/>
        <v>0</v>
      </c>
    </row>
    <row r="7" spans="2:11" x14ac:dyDescent="0.3">
      <c r="B7" s="167" t="s">
        <v>268</v>
      </c>
      <c r="C7" s="168">
        <v>374</v>
      </c>
      <c r="D7" s="168">
        <v>227</v>
      </c>
      <c r="E7" s="168">
        <v>90</v>
      </c>
      <c r="F7" s="168">
        <v>308</v>
      </c>
      <c r="G7" s="168">
        <v>323</v>
      </c>
      <c r="H7" s="138">
        <f>G7/$G$19</f>
        <v>1.1555647778131563E-3</v>
      </c>
      <c r="I7" s="168">
        <f t="shared" si="1"/>
        <v>15</v>
      </c>
      <c r="J7" s="169" t="str">
        <f t="shared" si="2"/>
        <v>▲</v>
      </c>
      <c r="K7" s="169">
        <f t="shared" si="3"/>
        <v>4.870129870129869E-2</v>
      </c>
    </row>
    <row r="8" spans="2:11" x14ac:dyDescent="0.3">
      <c r="B8" s="167" t="s">
        <v>269</v>
      </c>
      <c r="C8" s="168">
        <v>28270</v>
      </c>
      <c r="D8" s="168">
        <v>28752</v>
      </c>
      <c r="E8" s="168">
        <v>27103</v>
      </c>
      <c r="F8" s="168">
        <v>27034</v>
      </c>
      <c r="G8" s="168">
        <v>24470</v>
      </c>
      <c r="H8" s="138">
        <f>G8/$G$19</f>
        <v>8.7543870319157696E-2</v>
      </c>
      <c r="I8" s="168">
        <f t="shared" ref="I8:I37" si="4">G8-F8</f>
        <v>-2564</v>
      </c>
      <c r="J8" s="169" t="str">
        <f t="shared" ref="J8:J37" si="5">IF(G8&gt;F8,"▲",IF(G8=F8,"▬","▼"))</f>
        <v>▼</v>
      </c>
      <c r="K8" s="169">
        <f t="shared" ref="K8:K37" si="6">G8/F8-100%</f>
        <v>-9.4843530369164708E-2</v>
      </c>
    </row>
    <row r="9" spans="2:11" x14ac:dyDescent="0.3">
      <c r="B9" s="167" t="s">
        <v>270</v>
      </c>
      <c r="C9" s="168">
        <v>197</v>
      </c>
      <c r="D9" s="168">
        <v>197</v>
      </c>
      <c r="E9" s="168">
        <v>197</v>
      </c>
      <c r="F9" s="168">
        <v>197</v>
      </c>
      <c r="G9" s="168">
        <v>197</v>
      </c>
      <c r="H9" s="138"/>
      <c r="I9" s="168"/>
      <c r="J9" s="169"/>
      <c r="K9" s="169"/>
    </row>
    <row r="10" spans="2:11" ht="15" thickBot="1" x14ac:dyDescent="0.35">
      <c r="B10" s="167" t="s">
        <v>271</v>
      </c>
      <c r="C10" s="168">
        <v>0</v>
      </c>
      <c r="D10" s="168">
        <v>0</v>
      </c>
      <c r="E10" s="168">
        <v>0</v>
      </c>
      <c r="F10" s="168">
        <v>195</v>
      </c>
      <c r="G10" s="168">
        <v>100</v>
      </c>
      <c r="H10" s="138">
        <f t="shared" ref="H10:H37" si="7">G10/$G$19</f>
        <v>3.5775999313100812E-4</v>
      </c>
      <c r="I10" s="168">
        <f t="shared" si="4"/>
        <v>-95</v>
      </c>
      <c r="J10" s="169" t="str">
        <f t="shared" si="5"/>
        <v>▼</v>
      </c>
      <c r="K10" s="169">
        <f t="shared" si="6"/>
        <v>-0.48717948717948723</v>
      </c>
    </row>
    <row r="11" spans="2:11" ht="15" thickBot="1" x14ac:dyDescent="0.35">
      <c r="B11" s="170" t="s">
        <v>3</v>
      </c>
      <c r="C11" s="171">
        <f t="shared" ref="C11" si="8">SUM(C4:C10)</f>
        <v>270081</v>
      </c>
      <c r="D11" s="171">
        <f>SUM(D4:D10)</f>
        <v>262594</v>
      </c>
      <c r="E11" s="171">
        <f t="shared" ref="E11:F11" si="9">SUM(E4:E10)</f>
        <v>217924</v>
      </c>
      <c r="F11" s="171">
        <f t="shared" si="9"/>
        <v>198404</v>
      </c>
      <c r="G11" s="171">
        <f t="shared" ref="G11" si="10">SUM(G4:G10)</f>
        <v>181875</v>
      </c>
      <c r="H11" s="139">
        <f>G11/$G$19</f>
        <v>0.65067598750702105</v>
      </c>
      <c r="I11" s="171">
        <f t="shared" si="4"/>
        <v>-16529</v>
      </c>
      <c r="J11" s="172" t="str">
        <f t="shared" si="5"/>
        <v>▼</v>
      </c>
      <c r="K11" s="172">
        <f t="shared" si="6"/>
        <v>-8.3309812302171382E-2</v>
      </c>
    </row>
    <row r="12" spans="2:11" x14ac:dyDescent="0.3">
      <c r="B12" s="167" t="s">
        <v>273</v>
      </c>
      <c r="C12" s="168">
        <v>37171</v>
      </c>
      <c r="D12" s="168">
        <v>38234</v>
      </c>
      <c r="E12" s="168">
        <v>36548</v>
      </c>
      <c r="F12" s="168">
        <v>45929</v>
      </c>
      <c r="G12" s="168">
        <v>39279</v>
      </c>
      <c r="H12" s="138">
        <f t="shared" si="7"/>
        <v>0.14052454770192868</v>
      </c>
      <c r="I12" s="168">
        <f t="shared" si="4"/>
        <v>-6650</v>
      </c>
      <c r="J12" s="169" t="str">
        <f t="shared" si="5"/>
        <v>▼</v>
      </c>
      <c r="K12" s="169">
        <f t="shared" si="6"/>
        <v>-0.14478869559537544</v>
      </c>
    </row>
    <row r="13" spans="2:11" x14ac:dyDescent="0.3">
      <c r="B13" s="167" t="s">
        <v>274</v>
      </c>
      <c r="C13" s="168">
        <v>29728</v>
      </c>
      <c r="D13" s="168">
        <v>36237</v>
      </c>
      <c r="E13" s="168">
        <v>30295</v>
      </c>
      <c r="F13" s="168">
        <v>34266</v>
      </c>
      <c r="G13" s="168">
        <v>36190</v>
      </c>
      <c r="H13" s="138">
        <f t="shared" si="7"/>
        <v>0.12947334151411186</v>
      </c>
      <c r="I13" s="168">
        <f t="shared" si="4"/>
        <v>1924</v>
      </c>
      <c r="J13" s="169" t="str">
        <f t="shared" si="5"/>
        <v>▲</v>
      </c>
      <c r="K13" s="169">
        <f t="shared" si="6"/>
        <v>5.6148952314247325E-2</v>
      </c>
    </row>
    <row r="14" spans="2:11" x14ac:dyDescent="0.3">
      <c r="B14" s="167" t="s">
        <v>264</v>
      </c>
      <c r="C14" s="168">
        <v>0</v>
      </c>
      <c r="D14" s="168">
        <v>0</v>
      </c>
      <c r="E14" s="168">
        <v>0</v>
      </c>
      <c r="F14" s="168">
        <v>2390</v>
      </c>
      <c r="G14" s="168">
        <v>181</v>
      </c>
      <c r="H14" s="138">
        <f t="shared" si="7"/>
        <v>6.4754558756712475E-4</v>
      </c>
      <c r="I14" s="168">
        <f t="shared" si="4"/>
        <v>-2209</v>
      </c>
      <c r="J14" s="169" t="str">
        <f t="shared" si="5"/>
        <v>▼</v>
      </c>
      <c r="K14" s="169">
        <f t="shared" si="6"/>
        <v>-0.92426778242677821</v>
      </c>
    </row>
    <row r="15" spans="2:11" x14ac:dyDescent="0.3">
      <c r="B15" s="167" t="s">
        <v>275</v>
      </c>
      <c r="C15" s="168">
        <v>1372</v>
      </c>
      <c r="D15" s="168">
        <v>591</v>
      </c>
      <c r="E15" s="168">
        <v>1001</v>
      </c>
      <c r="F15" s="168">
        <v>1473</v>
      </c>
      <c r="G15" s="168">
        <v>1216</v>
      </c>
      <c r="H15" s="138">
        <f t="shared" si="7"/>
        <v>4.3503615164730593E-3</v>
      </c>
      <c r="I15" s="168">
        <f t="shared" ref="I15" si="11">G15-F15</f>
        <v>-257</v>
      </c>
      <c r="J15" s="169" t="str">
        <f t="shared" ref="J15" si="12">IF(G15&gt;F15,"▲",IF(G15=F15,"▬","▼"))</f>
        <v>▼</v>
      </c>
      <c r="K15" s="169"/>
    </row>
    <row r="16" spans="2:11" x14ac:dyDescent="0.3">
      <c r="B16" s="167" t="s">
        <v>276</v>
      </c>
      <c r="C16" s="168">
        <v>11544</v>
      </c>
      <c r="D16" s="168">
        <v>5997</v>
      </c>
      <c r="E16" s="168">
        <v>9791</v>
      </c>
      <c r="F16" s="168">
        <v>9764</v>
      </c>
      <c r="G16" s="168">
        <v>20705</v>
      </c>
      <c r="H16" s="138">
        <f t="shared" si="7"/>
        <v>7.4074206577775234E-2</v>
      </c>
      <c r="I16" s="168">
        <f t="shared" si="4"/>
        <v>10941</v>
      </c>
      <c r="J16" s="169" t="str">
        <f t="shared" si="5"/>
        <v>▲</v>
      </c>
      <c r="K16" s="169">
        <f t="shared" si="6"/>
        <v>1.1205448586644819</v>
      </c>
    </row>
    <row r="17" spans="2:11" ht="15" thickBot="1" x14ac:dyDescent="0.35">
      <c r="B17" s="167" t="s">
        <v>277</v>
      </c>
      <c r="C17" s="168">
        <v>0</v>
      </c>
      <c r="D17" s="168">
        <v>0</v>
      </c>
      <c r="E17" s="168">
        <v>16000</v>
      </c>
      <c r="F17" s="168">
        <v>6873</v>
      </c>
      <c r="G17" s="168">
        <v>71</v>
      </c>
      <c r="H17" s="138">
        <f t="shared" si="7"/>
        <v>2.5400959512301578E-4</v>
      </c>
      <c r="I17" s="168">
        <f t="shared" si="4"/>
        <v>-6802</v>
      </c>
      <c r="J17" s="169" t="str">
        <f t="shared" si="5"/>
        <v>▼</v>
      </c>
      <c r="K17" s="169">
        <f t="shared" si="6"/>
        <v>-0.98966972210097481</v>
      </c>
    </row>
    <row r="18" spans="2:11" ht="15" thickBot="1" x14ac:dyDescent="0.35">
      <c r="B18" s="170" t="s">
        <v>4</v>
      </c>
      <c r="C18" s="171">
        <f t="shared" ref="C18" si="13">SUM(C12:C17)</f>
        <v>79815</v>
      </c>
      <c r="D18" s="171">
        <f>SUM(D12:D17)</f>
        <v>81059</v>
      </c>
      <c r="E18" s="171">
        <f t="shared" ref="E18" si="14">SUM(E12:E17)</f>
        <v>93635</v>
      </c>
      <c r="F18" s="171">
        <f>SUM(F12:F17)</f>
        <v>100695</v>
      </c>
      <c r="G18" s="171">
        <f t="shared" ref="G18" si="15">SUM(G12:G17)</f>
        <v>97642</v>
      </c>
      <c r="H18" s="139">
        <f t="shared" si="7"/>
        <v>0.34932401249297895</v>
      </c>
      <c r="I18" s="171">
        <f t="shared" si="4"/>
        <v>-3053</v>
      </c>
      <c r="J18" s="172" t="str">
        <f t="shared" si="5"/>
        <v>▼</v>
      </c>
      <c r="K18" s="172">
        <f t="shared" si="6"/>
        <v>-3.0319280997070375E-2</v>
      </c>
    </row>
    <row r="19" spans="2:11" ht="15" thickBot="1" x14ac:dyDescent="0.35">
      <c r="B19" s="170" t="s">
        <v>5</v>
      </c>
      <c r="C19" s="171">
        <f t="shared" ref="C19" si="16">C11+C18</f>
        <v>349896</v>
      </c>
      <c r="D19" s="171">
        <f>D11+D18</f>
        <v>343653</v>
      </c>
      <c r="E19" s="171">
        <f>E11+E18+2</f>
        <v>311561</v>
      </c>
      <c r="F19" s="171">
        <f t="shared" ref="F19" si="17">F11+F18</f>
        <v>299099</v>
      </c>
      <c r="G19" s="171">
        <f t="shared" ref="G19" si="18">G11+G18</f>
        <v>279517</v>
      </c>
      <c r="H19" s="139">
        <f t="shared" si="7"/>
        <v>1</v>
      </c>
      <c r="I19" s="171">
        <f>G19-F19</f>
        <v>-19582</v>
      </c>
      <c r="J19" s="172" t="str">
        <f t="shared" si="5"/>
        <v>▼</v>
      </c>
      <c r="K19" s="172">
        <f t="shared" si="6"/>
        <v>-6.546996145089079E-2</v>
      </c>
    </row>
    <row r="20" spans="2:11" x14ac:dyDescent="0.3">
      <c r="B20" s="167" t="s">
        <v>6</v>
      </c>
      <c r="C20" s="168">
        <v>26412</v>
      </c>
      <c r="D20" s="168">
        <v>26412</v>
      </c>
      <c r="E20" s="168">
        <v>26412</v>
      </c>
      <c r="F20" s="168">
        <v>26412</v>
      </c>
      <c r="G20" s="168">
        <v>26412</v>
      </c>
      <c r="H20" s="138">
        <f t="shared" si="7"/>
        <v>9.4491569385761864E-2</v>
      </c>
      <c r="I20" s="168">
        <f t="shared" si="4"/>
        <v>0</v>
      </c>
      <c r="J20" s="169" t="str">
        <f t="shared" si="5"/>
        <v>▬</v>
      </c>
      <c r="K20" s="169">
        <f t="shared" si="6"/>
        <v>0</v>
      </c>
    </row>
    <row r="21" spans="2:11" x14ac:dyDescent="0.3">
      <c r="B21" s="167" t="s">
        <v>7</v>
      </c>
      <c r="C21" s="168">
        <v>2182</v>
      </c>
      <c r="D21" s="168">
        <v>2182</v>
      </c>
      <c r="E21" s="168">
        <v>2182</v>
      </c>
      <c r="F21" s="168">
        <v>2182</v>
      </c>
      <c r="G21" s="168">
        <v>2182</v>
      </c>
      <c r="H21" s="138">
        <f t="shared" si="7"/>
        <v>7.8063230501185972E-3</v>
      </c>
      <c r="I21" s="168">
        <f t="shared" si="4"/>
        <v>0</v>
      </c>
      <c r="J21" s="169" t="str">
        <f t="shared" si="5"/>
        <v>▬</v>
      </c>
      <c r="K21" s="169">
        <f t="shared" si="6"/>
        <v>0</v>
      </c>
    </row>
    <row r="22" spans="2:11" x14ac:dyDescent="0.3">
      <c r="B22" s="167" t="s">
        <v>278</v>
      </c>
      <c r="C22" s="168">
        <v>41364</v>
      </c>
      <c r="D22" s="168">
        <v>38272</v>
      </c>
      <c r="E22" s="168">
        <v>38677</v>
      </c>
      <c r="F22" s="168">
        <v>38749</v>
      </c>
      <c r="G22" s="168">
        <v>38515</v>
      </c>
      <c r="H22" s="138">
        <f t="shared" si="7"/>
        <v>0.13779126135440778</v>
      </c>
      <c r="I22" s="168">
        <f t="shared" si="4"/>
        <v>-234</v>
      </c>
      <c r="J22" s="169" t="str">
        <f t="shared" si="5"/>
        <v>▼</v>
      </c>
      <c r="K22" s="169">
        <f t="shared" si="6"/>
        <v>-6.0388655191101481E-3</v>
      </c>
    </row>
    <row r="23" spans="2:11" x14ac:dyDescent="0.3">
      <c r="B23" s="167" t="s">
        <v>8</v>
      </c>
      <c r="C23" s="168">
        <v>80032</v>
      </c>
      <c r="D23" s="168">
        <v>79571</v>
      </c>
      <c r="E23" s="168">
        <v>74357</v>
      </c>
      <c r="F23" s="168">
        <v>71310</v>
      </c>
      <c r="G23" s="168">
        <v>71692</v>
      </c>
      <c r="H23" s="138">
        <f t="shared" si="7"/>
        <v>0.25648529427548233</v>
      </c>
      <c r="I23" s="168">
        <f t="shared" si="4"/>
        <v>382</v>
      </c>
      <c r="J23" s="169" t="str">
        <f t="shared" si="5"/>
        <v>▲</v>
      </c>
      <c r="K23" s="169">
        <f t="shared" si="6"/>
        <v>5.3568924414528762E-3</v>
      </c>
    </row>
    <row r="24" spans="2:11" x14ac:dyDescent="0.3">
      <c r="B24" s="173" t="s">
        <v>123</v>
      </c>
      <c r="C24" s="174">
        <v>149991</v>
      </c>
      <c r="D24" s="174">
        <v>146438</v>
      </c>
      <c r="E24" s="174">
        <v>141629</v>
      </c>
      <c r="F24" s="174">
        <v>138654</v>
      </c>
      <c r="G24" s="174">
        <v>138802</v>
      </c>
      <c r="H24" s="138">
        <f t="shared" si="7"/>
        <v>0.49657802566570192</v>
      </c>
      <c r="I24" s="168">
        <f t="shared" si="4"/>
        <v>148</v>
      </c>
      <c r="J24" s="169" t="str">
        <f t="shared" si="5"/>
        <v>▲</v>
      </c>
      <c r="K24" s="169">
        <f t="shared" si="6"/>
        <v>1.0674051956669484E-3</v>
      </c>
    </row>
    <row r="25" spans="2:11" ht="15" thickBot="1" x14ac:dyDescent="0.35">
      <c r="B25" s="167" t="s">
        <v>279</v>
      </c>
      <c r="C25" s="168">
        <v>1072</v>
      </c>
      <c r="D25" s="168">
        <v>1007</v>
      </c>
      <c r="E25" s="168">
        <v>939</v>
      </c>
      <c r="F25" s="168">
        <v>907</v>
      </c>
      <c r="G25" s="168">
        <v>910</v>
      </c>
      <c r="H25" s="138">
        <f t="shared" si="7"/>
        <v>3.2556159374921741E-3</v>
      </c>
      <c r="I25" s="168">
        <f t="shared" si="4"/>
        <v>3</v>
      </c>
      <c r="J25" s="169" t="str">
        <f t="shared" si="5"/>
        <v>▲</v>
      </c>
      <c r="K25" s="169">
        <f t="shared" si="6"/>
        <v>3.3076074972435698E-3</v>
      </c>
    </row>
    <row r="26" spans="2:11" ht="15" thickBot="1" x14ac:dyDescent="0.35">
      <c r="B26" s="170" t="s">
        <v>9</v>
      </c>
      <c r="C26" s="171">
        <f t="shared" ref="C26" si="19">C24+C25</f>
        <v>151063</v>
      </c>
      <c r="D26" s="171">
        <f>D24+D25</f>
        <v>147445</v>
      </c>
      <c r="E26" s="171">
        <f t="shared" ref="E26:F26" si="20">E24+E25</f>
        <v>142568</v>
      </c>
      <c r="F26" s="171">
        <f t="shared" si="20"/>
        <v>139561</v>
      </c>
      <c r="G26" s="171">
        <f t="shared" ref="G26" si="21">G24+G25</f>
        <v>139712</v>
      </c>
      <c r="H26" s="139">
        <f t="shared" si="7"/>
        <v>0.4998336416031941</v>
      </c>
      <c r="I26" s="171">
        <f t="shared" si="4"/>
        <v>151</v>
      </c>
      <c r="J26" s="172" t="str">
        <f t="shared" si="5"/>
        <v>▲</v>
      </c>
      <c r="K26" s="172">
        <f t="shared" si="6"/>
        <v>1.081964159041604E-3</v>
      </c>
    </row>
    <row r="27" spans="2:11" x14ac:dyDescent="0.3">
      <c r="B27" s="167" t="s">
        <v>280</v>
      </c>
      <c r="C27" s="168">
        <v>265</v>
      </c>
      <c r="D27" s="168">
        <v>264</v>
      </c>
      <c r="E27" s="168">
        <v>285</v>
      </c>
      <c r="F27" s="168">
        <v>249</v>
      </c>
      <c r="G27" s="168">
        <v>446</v>
      </c>
      <c r="H27" s="138">
        <f t="shared" si="7"/>
        <v>1.5956095693642962E-3</v>
      </c>
      <c r="I27" s="168">
        <f t="shared" si="4"/>
        <v>197</v>
      </c>
      <c r="J27" s="169" t="str">
        <f t="shared" si="5"/>
        <v>▲</v>
      </c>
      <c r="K27" s="169">
        <f t="shared" si="6"/>
        <v>0.79116465863453822</v>
      </c>
    </row>
    <row r="28" spans="2:11" x14ac:dyDescent="0.3">
      <c r="B28" s="175" t="s">
        <v>11</v>
      </c>
      <c r="C28" s="168">
        <v>10468</v>
      </c>
      <c r="D28" s="168">
        <v>10758</v>
      </c>
      <c r="E28" s="168">
        <v>8902</v>
      </c>
      <c r="F28" s="168">
        <v>8364</v>
      </c>
      <c r="G28" s="168">
        <v>7853</v>
      </c>
      <c r="H28" s="138">
        <f t="shared" si="7"/>
        <v>2.8094892260578069E-2</v>
      </c>
      <c r="I28" s="168">
        <f t="shared" si="4"/>
        <v>-511</v>
      </c>
      <c r="J28" s="169" t="str">
        <f t="shared" si="5"/>
        <v>▼</v>
      </c>
      <c r="K28" s="169">
        <f t="shared" si="6"/>
        <v>-6.1095169775227109E-2</v>
      </c>
    </row>
    <row r="29" spans="2:11" x14ac:dyDescent="0.3">
      <c r="B29" s="167" t="s">
        <v>281</v>
      </c>
      <c r="C29" s="168">
        <v>58094</v>
      </c>
      <c r="D29" s="168">
        <v>51589</v>
      </c>
      <c r="E29" s="168">
        <v>37265</v>
      </c>
      <c r="F29" s="168">
        <v>23513</v>
      </c>
      <c r="G29" s="168">
        <v>17857</v>
      </c>
      <c r="H29" s="138">
        <f t="shared" si="7"/>
        <v>6.3885201973404124E-2</v>
      </c>
      <c r="I29" s="168">
        <f t="shared" si="4"/>
        <v>-5656</v>
      </c>
      <c r="J29" s="169" t="str">
        <f t="shared" si="5"/>
        <v>▼</v>
      </c>
      <c r="K29" s="169">
        <f t="shared" si="6"/>
        <v>-0.24054778207799943</v>
      </c>
    </row>
    <row r="30" spans="2:11" ht="15" thickBot="1" x14ac:dyDescent="0.35">
      <c r="B30" s="167" t="s">
        <v>282</v>
      </c>
      <c r="C30" s="168">
        <v>35199</v>
      </c>
      <c r="D30" s="168">
        <v>31250</v>
      </c>
      <c r="E30" s="168">
        <v>27301</v>
      </c>
      <c r="F30" s="168">
        <v>23507</v>
      </c>
      <c r="G30" s="168">
        <v>19761</v>
      </c>
      <c r="H30" s="138">
        <f t="shared" si="7"/>
        <v>7.0696952242618516E-2</v>
      </c>
      <c r="I30" s="168">
        <f t="shared" si="4"/>
        <v>-3746</v>
      </c>
      <c r="J30" s="169" t="str">
        <f t="shared" si="5"/>
        <v>▼</v>
      </c>
      <c r="K30" s="169">
        <f t="shared" si="6"/>
        <v>-0.1593567873399413</v>
      </c>
    </row>
    <row r="31" spans="2:11" ht="15" thickBot="1" x14ac:dyDescent="0.35">
      <c r="B31" s="170" t="s">
        <v>12</v>
      </c>
      <c r="C31" s="171">
        <f>SUM(C27:C30)</f>
        <v>104026</v>
      </c>
      <c r="D31" s="171">
        <f>SUM(D27:D30)</f>
        <v>93861</v>
      </c>
      <c r="E31" s="171">
        <f>SUM(E27:E30)</f>
        <v>73753</v>
      </c>
      <c r="F31" s="171">
        <f>SUM(F27:F30)</f>
        <v>55633</v>
      </c>
      <c r="G31" s="171">
        <f>SUM(G27:G30)</f>
        <v>45917</v>
      </c>
      <c r="H31" s="139">
        <f t="shared" si="7"/>
        <v>0.164272656045965</v>
      </c>
      <c r="I31" s="171">
        <f t="shared" si="4"/>
        <v>-9716</v>
      </c>
      <c r="J31" s="172" t="str">
        <f t="shared" si="5"/>
        <v>▼</v>
      </c>
      <c r="K31" s="172">
        <f t="shared" si="6"/>
        <v>-0.174644545503568</v>
      </c>
    </row>
    <row r="32" spans="2:11" x14ac:dyDescent="0.3">
      <c r="B32" s="167" t="s">
        <v>283</v>
      </c>
      <c r="C32" s="168">
        <v>33351</v>
      </c>
      <c r="D32" s="168">
        <v>38670</v>
      </c>
      <c r="E32" s="168">
        <v>34353</v>
      </c>
      <c r="F32" s="168">
        <v>35233</v>
      </c>
      <c r="G32" s="168">
        <v>33375</v>
      </c>
      <c r="H32" s="138">
        <f t="shared" si="7"/>
        <v>0.11940239770747396</v>
      </c>
      <c r="I32" s="168">
        <f t="shared" si="4"/>
        <v>-1858</v>
      </c>
      <c r="J32" s="169" t="str">
        <f t="shared" si="5"/>
        <v>▼</v>
      </c>
      <c r="K32" s="169">
        <f t="shared" si="6"/>
        <v>-5.2734652172679031E-2</v>
      </c>
    </row>
    <row r="33" spans="2:11" x14ac:dyDescent="0.3">
      <c r="B33" s="167" t="s">
        <v>284</v>
      </c>
      <c r="C33" s="168">
        <v>53907</v>
      </c>
      <c r="D33" s="168">
        <v>54903</v>
      </c>
      <c r="E33" s="168">
        <v>52607</v>
      </c>
      <c r="F33" s="168">
        <v>60426</v>
      </c>
      <c r="G33" s="168">
        <v>52868</v>
      </c>
      <c r="H33" s="138">
        <f t="shared" si="7"/>
        <v>0.18914055316850137</v>
      </c>
      <c r="I33" s="168">
        <f t="shared" si="4"/>
        <v>-7558</v>
      </c>
      <c r="J33" s="169" t="str">
        <f t="shared" si="5"/>
        <v>▼</v>
      </c>
      <c r="K33" s="169">
        <f t="shared" si="6"/>
        <v>-0.12507860854599018</v>
      </c>
    </row>
    <row r="34" spans="2:11" ht="15" thickBot="1" x14ac:dyDescent="0.35">
      <c r="B34" s="173" t="s">
        <v>285</v>
      </c>
      <c r="C34" s="168">
        <v>7549</v>
      </c>
      <c r="D34" s="168">
        <v>8774</v>
      </c>
      <c r="E34" s="168">
        <v>8280</v>
      </c>
      <c r="F34" s="168">
        <v>8246</v>
      </c>
      <c r="G34" s="168">
        <v>7645</v>
      </c>
      <c r="H34" s="138">
        <f t="shared" si="7"/>
        <v>2.735075147486557E-2</v>
      </c>
      <c r="I34" s="168">
        <f t="shared" si="4"/>
        <v>-601</v>
      </c>
      <c r="J34" s="169" t="str">
        <f t="shared" si="5"/>
        <v>▼</v>
      </c>
      <c r="K34" s="169">
        <f t="shared" si="6"/>
        <v>-7.2883822459374192E-2</v>
      </c>
    </row>
    <row r="35" spans="2:11" ht="15" thickBot="1" x14ac:dyDescent="0.35">
      <c r="B35" s="170" t="s">
        <v>14</v>
      </c>
      <c r="C35" s="171">
        <f>SUM(C32:C34)</f>
        <v>94807</v>
      </c>
      <c r="D35" s="171">
        <f>SUM(D32:D34)</f>
        <v>102347</v>
      </c>
      <c r="E35" s="171">
        <f>SUM(E32:E34)</f>
        <v>95240</v>
      </c>
      <c r="F35" s="171">
        <f>SUM(F32:F34)</f>
        <v>103905</v>
      </c>
      <c r="G35" s="171">
        <f>SUM(G32:G34)</f>
        <v>93888</v>
      </c>
      <c r="H35" s="139">
        <f t="shared" si="7"/>
        <v>0.33589370235084093</v>
      </c>
      <c r="I35" s="171">
        <f t="shared" si="4"/>
        <v>-10017</v>
      </c>
      <c r="J35" s="172" t="str">
        <f t="shared" si="5"/>
        <v>▼</v>
      </c>
      <c r="K35" s="172">
        <f t="shared" si="6"/>
        <v>-9.6405370290168935E-2</v>
      </c>
    </row>
    <row r="36" spans="2:11" ht="15" thickBot="1" x14ac:dyDescent="0.35">
      <c r="B36" s="170" t="s">
        <v>15</v>
      </c>
      <c r="C36" s="171">
        <f>C35+C31</f>
        <v>198833</v>
      </c>
      <c r="D36" s="171">
        <f>D35+D31</f>
        <v>196208</v>
      </c>
      <c r="E36" s="171">
        <f>E35+E31</f>
        <v>168993</v>
      </c>
      <c r="F36" s="171">
        <f>F35+F31</f>
        <v>159538</v>
      </c>
      <c r="G36" s="171">
        <f>G35+G31</f>
        <v>139805</v>
      </c>
      <c r="H36" s="139">
        <f t="shared" si="7"/>
        <v>0.5001663583968059</v>
      </c>
      <c r="I36" s="171">
        <f t="shared" si="4"/>
        <v>-19733</v>
      </c>
      <c r="J36" s="172" t="str">
        <f t="shared" si="5"/>
        <v>▼</v>
      </c>
      <c r="K36" s="172">
        <f t="shared" si="6"/>
        <v>-0.12368840025573846</v>
      </c>
    </row>
    <row r="37" spans="2:11" ht="15" thickBot="1" x14ac:dyDescent="0.35">
      <c r="B37" s="170" t="s">
        <v>16</v>
      </c>
      <c r="C37" s="171">
        <f>C36+C26</f>
        <v>349896</v>
      </c>
      <c r="D37" s="171">
        <f>D36+D26</f>
        <v>343653</v>
      </c>
      <c r="E37" s="171">
        <f>E36+E26</f>
        <v>311561</v>
      </c>
      <c r="F37" s="171">
        <f>F36+F26</f>
        <v>299099</v>
      </c>
      <c r="G37" s="171">
        <f>G36+G26</f>
        <v>279517</v>
      </c>
      <c r="H37" s="139">
        <f t="shared" si="7"/>
        <v>1</v>
      </c>
      <c r="I37" s="171">
        <f t="shared" si="4"/>
        <v>-19582</v>
      </c>
      <c r="J37" s="172" t="str">
        <f t="shared" si="5"/>
        <v>▼</v>
      </c>
      <c r="K37" s="172">
        <f t="shared" si="6"/>
        <v>-6.546996145089079E-2</v>
      </c>
    </row>
    <row r="38" spans="2:11" x14ac:dyDescent="0.3">
      <c r="B38" s="176"/>
      <c r="C38" s="177">
        <f>C37-C19</f>
        <v>0</v>
      </c>
      <c r="D38" s="177">
        <f>D37-D19</f>
        <v>0</v>
      </c>
      <c r="E38" s="177">
        <f>E37-E19</f>
        <v>0</v>
      </c>
      <c r="F38" s="177">
        <f>F37-F19</f>
        <v>0</v>
      </c>
      <c r="G38" s="177">
        <f>G37-G19</f>
        <v>0</v>
      </c>
    </row>
    <row r="39" spans="2:11" x14ac:dyDescent="0.3">
      <c r="B39" s="176" t="s">
        <v>26</v>
      </c>
    </row>
    <row r="42" spans="2:11" x14ac:dyDescent="0.3">
      <c r="C42" s="178"/>
      <c r="D42" s="178"/>
      <c r="E42" s="178"/>
      <c r="F42" s="178"/>
      <c r="G42" s="178"/>
    </row>
  </sheetData>
  <mergeCells count="1">
    <mergeCell ref="I3:K3"/>
  </mergeCells>
  <conditionalFormatting sqref="J4:J14 J20:J25 J16:J17 J27:J30 J32:J34">
    <cfRule type="expression" dxfId="77" priority="40">
      <formula>G4=F4</formula>
    </cfRule>
    <cfRule type="expression" dxfId="76" priority="41">
      <formula>G4&lt;F4</formula>
    </cfRule>
    <cfRule type="expression" dxfId="75" priority="42">
      <formula>G4&gt;F4</formula>
    </cfRule>
  </conditionalFormatting>
  <conditionalFormatting sqref="J18:J19">
    <cfRule type="expression" dxfId="74" priority="13">
      <formula>G18=F18</formula>
    </cfRule>
    <cfRule type="expression" dxfId="73" priority="14">
      <formula>G18&lt;F18</formula>
    </cfRule>
    <cfRule type="expression" dxfId="72" priority="15">
      <formula>G18&gt;F18</formula>
    </cfRule>
  </conditionalFormatting>
  <conditionalFormatting sqref="J24">
    <cfRule type="expression" dxfId="71" priority="22">
      <formula>G24=F24</formula>
    </cfRule>
    <cfRule type="expression" dxfId="70" priority="23">
      <formula>G24&lt;F24</formula>
    </cfRule>
    <cfRule type="expression" dxfId="69" priority="24">
      <formula>G24&gt;F24</formula>
    </cfRule>
  </conditionalFormatting>
  <conditionalFormatting sqref="J30">
    <cfRule type="expression" dxfId="68" priority="19">
      <formula>G30=F30</formula>
    </cfRule>
    <cfRule type="expression" dxfId="67" priority="20">
      <formula>G30&lt;F30</formula>
    </cfRule>
    <cfRule type="expression" dxfId="66" priority="21">
      <formula>G30&gt;F30</formula>
    </cfRule>
  </conditionalFormatting>
  <conditionalFormatting sqref="J26">
    <cfRule type="expression" dxfId="65" priority="10">
      <formula>G26=F26</formula>
    </cfRule>
    <cfRule type="expression" dxfId="64" priority="11">
      <formula>G26&lt;F26</formula>
    </cfRule>
    <cfRule type="expression" dxfId="63" priority="12">
      <formula>G26&gt;F26</formula>
    </cfRule>
  </conditionalFormatting>
  <conditionalFormatting sqref="J31">
    <cfRule type="expression" dxfId="62" priority="7">
      <formula>G31=F31</formula>
    </cfRule>
    <cfRule type="expression" dxfId="61" priority="8">
      <formula>G31&lt;F31</formula>
    </cfRule>
    <cfRule type="expression" dxfId="60" priority="9">
      <formula>G31&gt;F31</formula>
    </cfRule>
  </conditionalFormatting>
  <conditionalFormatting sqref="J35:J37">
    <cfRule type="expression" dxfId="59" priority="4">
      <formula>G35=F35</formula>
    </cfRule>
    <cfRule type="expression" dxfId="58" priority="5">
      <formula>G35&lt;F35</formula>
    </cfRule>
    <cfRule type="expression" dxfId="57" priority="6">
      <formula>G35&gt;F35</formula>
    </cfRule>
  </conditionalFormatting>
  <conditionalFormatting sqref="J15">
    <cfRule type="expression" dxfId="56" priority="1">
      <formula>G15=F15</formula>
    </cfRule>
    <cfRule type="expression" dxfId="55" priority="2">
      <formula>G15&lt;F15</formula>
    </cfRule>
    <cfRule type="expression" dxfId="54" priority="3">
      <formula>G15&gt;F15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T57"/>
  <sheetViews>
    <sheetView showGridLines="0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S17" sqref="S17"/>
    </sheetView>
  </sheetViews>
  <sheetFormatPr defaultColWidth="9.109375" defaultRowHeight="15.6" x14ac:dyDescent="0.3"/>
  <cols>
    <col min="1" max="1" width="2.5546875" style="81" customWidth="1"/>
    <col min="2" max="2" width="84.21875" style="81" customWidth="1"/>
    <col min="3" max="7" width="10.88671875" style="81" bestFit="1" customWidth="1"/>
    <col min="8" max="8" width="2.88671875" style="81" customWidth="1"/>
    <col min="9" max="9" width="8.77734375" style="81" customWidth="1"/>
    <col min="10" max="10" width="7.88671875" style="81" bestFit="1" customWidth="1"/>
    <col min="11" max="11" width="1.5546875" style="81" customWidth="1"/>
    <col min="12" max="12" width="8.109375" style="81" customWidth="1"/>
    <col min="13" max="13" width="7.77734375" style="81" bestFit="1" customWidth="1"/>
    <col min="14" max="14" width="7.33203125" style="81" customWidth="1"/>
    <col min="15" max="15" width="5.44140625" style="81" customWidth="1"/>
    <col min="16" max="16" width="7.88671875" style="81" customWidth="1"/>
    <col min="17" max="17" width="4.33203125" style="81" customWidth="1"/>
    <col min="18" max="18" width="9.109375" style="81"/>
    <col min="19" max="19" width="10.88671875" style="81" customWidth="1"/>
    <col min="20" max="20" width="9.21875" style="81" bestFit="1" customWidth="1"/>
    <col min="21" max="16384" width="9.109375" style="81"/>
  </cols>
  <sheetData>
    <row r="1" spans="2:15" x14ac:dyDescent="0.3">
      <c r="C1" s="182"/>
      <c r="D1" s="182"/>
      <c r="E1" s="182"/>
      <c r="F1" s="182"/>
      <c r="G1" s="182"/>
    </row>
    <row r="2" spans="2:15" ht="16.2" thickBot="1" x14ac:dyDescent="0.35">
      <c r="B2" s="77"/>
      <c r="C2" s="77"/>
      <c r="D2" s="77"/>
      <c r="E2" s="77"/>
      <c r="F2" s="77"/>
      <c r="G2" s="77"/>
      <c r="H2" s="78"/>
      <c r="I2" s="79" t="s">
        <v>156</v>
      </c>
      <c r="J2" s="80"/>
    </row>
    <row r="3" spans="2:15" s="82" customFormat="1" ht="25.5" customHeight="1" thickBot="1" x14ac:dyDescent="0.35">
      <c r="B3" s="140" t="s">
        <v>89</v>
      </c>
      <c r="C3" s="141">
        <v>2016</v>
      </c>
      <c r="D3" s="141">
        <f>C3+1</f>
        <v>2017</v>
      </c>
      <c r="E3" s="141">
        <f t="shared" ref="E3:G3" si="0">D3+1</f>
        <v>2018</v>
      </c>
      <c r="F3" s="141">
        <f t="shared" si="0"/>
        <v>2019</v>
      </c>
      <c r="G3" s="141">
        <f t="shared" si="0"/>
        <v>2020</v>
      </c>
      <c r="H3" s="232" t="str">
        <f>CONCATENATE(G3," vs. ",F3)</f>
        <v>2020 vs. 2019</v>
      </c>
      <c r="I3" s="232"/>
      <c r="J3" s="232"/>
    </row>
    <row r="4" spans="2:15" x14ac:dyDescent="0.3">
      <c r="B4" s="83" t="s">
        <v>17</v>
      </c>
      <c r="C4" s="83">
        <v>238236</v>
      </c>
      <c r="D4" s="83">
        <v>251993</v>
      </c>
      <c r="E4" s="83">
        <v>257709</v>
      </c>
      <c r="F4" s="83">
        <v>245772</v>
      </c>
      <c r="G4" s="142">
        <v>256050</v>
      </c>
      <c r="H4" s="84" t="str">
        <f>IF(G4+F4&gt;0,IF(G4&gt;F4,"▲",IF(G4=F4,"▬","▼")),IF(G4&gt;F4,"▼",IF(G4=F4,"▬","▲")))</f>
        <v>▲</v>
      </c>
      <c r="I4" s="83">
        <f>G4-F4</f>
        <v>10278</v>
      </c>
      <c r="J4" s="85">
        <f>G4/F4-1</f>
        <v>4.1819247107074853E-2</v>
      </c>
      <c r="O4" s="83"/>
    </row>
    <row r="5" spans="2:15" x14ac:dyDescent="0.3">
      <c r="B5" s="83" t="s">
        <v>286</v>
      </c>
      <c r="C5" s="86">
        <v>5865</v>
      </c>
      <c r="D5" s="86">
        <v>6391</v>
      </c>
      <c r="E5" s="86">
        <v>6289</v>
      </c>
      <c r="F5" s="86">
        <v>6897</v>
      </c>
      <c r="G5" s="143">
        <v>5198</v>
      </c>
      <c r="H5" s="84" t="str">
        <f t="shared" ref="H5:H27" si="1">IF(G5+F5&gt;0,IF(G5&gt;F5,"▲",IF(G5=F5,"▬","▼")),IF(G5&gt;F5,"▼",IF(G5=F5,"▬","▲")))</f>
        <v>▼</v>
      </c>
      <c r="I5" s="86">
        <f t="shared" ref="I5:I27" si="2">G5-F5</f>
        <v>-1699</v>
      </c>
      <c r="J5" s="85">
        <f t="shared" ref="J5:J27" si="3">G5/F5-1</f>
        <v>-0.24633898796578224</v>
      </c>
      <c r="O5" s="83"/>
    </row>
    <row r="6" spans="2:15" x14ac:dyDescent="0.3">
      <c r="B6" s="87" t="s">
        <v>287</v>
      </c>
      <c r="C6" s="86">
        <v>4183</v>
      </c>
      <c r="D6" s="86">
        <v>5600</v>
      </c>
      <c r="E6" s="86">
        <v>1347</v>
      </c>
      <c r="F6" s="86">
        <v>6251</v>
      </c>
      <c r="G6" s="143">
        <v>-1549</v>
      </c>
      <c r="H6" s="84" t="str">
        <f t="shared" si="1"/>
        <v>▼</v>
      </c>
      <c r="I6" s="86">
        <f t="shared" si="2"/>
        <v>-7800</v>
      </c>
      <c r="J6" s="85">
        <f t="shared" si="3"/>
        <v>-1.2478003519436891</v>
      </c>
      <c r="O6" s="87"/>
    </row>
    <row r="7" spans="2:15" x14ac:dyDescent="0.3">
      <c r="B7" s="87" t="s">
        <v>19</v>
      </c>
      <c r="C7" s="86">
        <v>-147840</v>
      </c>
      <c r="D7" s="86">
        <v>-166870</v>
      </c>
      <c r="E7" s="86">
        <v>-165723</v>
      </c>
      <c r="F7" s="86">
        <v>-155174</v>
      </c>
      <c r="G7" s="143">
        <v>-150123</v>
      </c>
      <c r="H7" s="84" t="str">
        <f t="shared" ref="H7:H10" si="4">IF(G7+F7&gt;0,IF(G7&gt;F7,"▲",IF(G7=F7,"▬","▼")),IF(G7&gt;F7,"▼",IF(G7=F7,"▬","▲")))</f>
        <v>▼</v>
      </c>
      <c r="I7" s="86">
        <f t="shared" ref="I7:I10" si="5">G7-F7</f>
        <v>5051</v>
      </c>
      <c r="J7" s="85">
        <f t="shared" ref="J7:J10" si="6">G7/F7-1</f>
        <v>-3.2550556149870458E-2</v>
      </c>
      <c r="O7" s="87"/>
    </row>
    <row r="8" spans="2:15" x14ac:dyDescent="0.3">
      <c r="B8" s="87" t="s">
        <v>288</v>
      </c>
      <c r="C8" s="86">
        <v>-51191</v>
      </c>
      <c r="D8" s="86">
        <v>-61681</v>
      </c>
      <c r="E8" s="86">
        <v>-64806</v>
      </c>
      <c r="F8" s="86">
        <v>-67409</v>
      </c>
      <c r="G8" s="143">
        <v>-70282</v>
      </c>
      <c r="H8" s="84" t="str">
        <f t="shared" si="4"/>
        <v>▲</v>
      </c>
      <c r="I8" s="86">
        <f t="shared" si="5"/>
        <v>-2873</v>
      </c>
      <c r="J8" s="85">
        <f t="shared" si="6"/>
        <v>4.2620421605423564E-2</v>
      </c>
      <c r="O8" s="87"/>
    </row>
    <row r="9" spans="2:15" x14ac:dyDescent="0.3">
      <c r="B9" s="87" t="s">
        <v>20</v>
      </c>
      <c r="C9" s="86">
        <v>-14851</v>
      </c>
      <c r="D9" s="86">
        <v>-16226</v>
      </c>
      <c r="E9" s="86">
        <v>-17112</v>
      </c>
      <c r="F9" s="86">
        <v>-16304</v>
      </c>
      <c r="G9" s="143">
        <v>-15277</v>
      </c>
      <c r="H9" s="84" t="str">
        <f t="shared" si="4"/>
        <v>▼</v>
      </c>
      <c r="I9" s="86">
        <f t="shared" si="5"/>
        <v>1027</v>
      </c>
      <c r="J9" s="85">
        <f t="shared" si="6"/>
        <v>-6.2990677134445505E-2</v>
      </c>
      <c r="O9" s="87"/>
    </row>
    <row r="10" spans="2:15" x14ac:dyDescent="0.3">
      <c r="B10" s="87" t="s">
        <v>22</v>
      </c>
      <c r="C10" s="86">
        <v>-30318</v>
      </c>
      <c r="D10" s="86">
        <v>-18550</v>
      </c>
      <c r="E10" s="86">
        <v>-21049</v>
      </c>
      <c r="F10" s="86">
        <v>-19729</v>
      </c>
      <c r="G10" s="143">
        <v>-18734</v>
      </c>
      <c r="H10" s="84" t="str">
        <f t="shared" si="4"/>
        <v>▼</v>
      </c>
      <c r="I10" s="86">
        <f t="shared" si="5"/>
        <v>995</v>
      </c>
      <c r="J10" s="85">
        <f t="shared" si="6"/>
        <v>-5.0433372193218085E-2</v>
      </c>
      <c r="O10" s="87"/>
    </row>
    <row r="11" spans="2:15" ht="16.2" thickBot="1" x14ac:dyDescent="0.35">
      <c r="B11" s="87" t="s">
        <v>289</v>
      </c>
      <c r="C11" s="86">
        <v>-1003</v>
      </c>
      <c r="D11" s="86">
        <v>2321</v>
      </c>
      <c r="E11" s="86">
        <v>3314</v>
      </c>
      <c r="F11" s="86">
        <v>1878</v>
      </c>
      <c r="G11" s="143">
        <v>794</v>
      </c>
      <c r="H11" s="84" t="str">
        <f t="shared" si="1"/>
        <v>▼</v>
      </c>
      <c r="I11" s="86">
        <f t="shared" si="2"/>
        <v>-1084</v>
      </c>
      <c r="J11" s="85">
        <f t="shared" si="3"/>
        <v>-0.57720979765708202</v>
      </c>
      <c r="O11" s="87"/>
    </row>
    <row r="12" spans="2:15" s="91" customFormat="1" ht="16.2" thickBot="1" x14ac:dyDescent="0.35">
      <c r="B12" s="88" t="s">
        <v>290</v>
      </c>
      <c r="C12" s="88">
        <f>SUM(C4:C11)</f>
        <v>3081</v>
      </c>
      <c r="D12" s="88">
        <f t="shared" ref="D12:G12" si="7">SUM(D4:D11)</f>
        <v>2978</v>
      </c>
      <c r="E12" s="88">
        <f t="shared" si="7"/>
        <v>-31</v>
      </c>
      <c r="F12" s="88">
        <f t="shared" si="7"/>
        <v>2182</v>
      </c>
      <c r="G12" s="144">
        <f t="shared" si="7"/>
        <v>6077</v>
      </c>
      <c r="H12" s="89" t="str">
        <f t="shared" si="1"/>
        <v>▲</v>
      </c>
      <c r="I12" s="88">
        <f t="shared" si="2"/>
        <v>3895</v>
      </c>
      <c r="J12" s="90">
        <f t="shared" si="3"/>
        <v>1.7850595783684695</v>
      </c>
    </row>
    <row r="13" spans="2:15" x14ac:dyDescent="0.3">
      <c r="B13" s="86" t="s">
        <v>291</v>
      </c>
      <c r="C13" s="86">
        <v>13</v>
      </c>
      <c r="D13" s="86">
        <v>26</v>
      </c>
      <c r="E13" s="86">
        <v>6</v>
      </c>
      <c r="F13" s="86">
        <v>6</v>
      </c>
      <c r="G13" s="143">
        <v>90</v>
      </c>
      <c r="H13" s="84" t="str">
        <f t="shared" si="1"/>
        <v>▲</v>
      </c>
      <c r="I13" s="86">
        <f t="shared" si="2"/>
        <v>84</v>
      </c>
      <c r="J13" s="85">
        <f t="shared" si="3"/>
        <v>14</v>
      </c>
      <c r="O13" s="87"/>
    </row>
    <row r="14" spans="2:15" x14ac:dyDescent="0.3">
      <c r="B14" s="86" t="s">
        <v>21</v>
      </c>
      <c r="C14" s="86">
        <v>-3442</v>
      </c>
      <c r="D14" s="86">
        <v>-4802</v>
      </c>
      <c r="E14" s="86">
        <v>-2936</v>
      </c>
      <c r="F14" s="86">
        <v>-4463</v>
      </c>
      <c r="G14" s="143">
        <v>-3418</v>
      </c>
      <c r="H14" s="84" t="str">
        <f t="shared" si="1"/>
        <v>▼</v>
      </c>
      <c r="I14" s="86">
        <f t="shared" si="2"/>
        <v>1045</v>
      </c>
      <c r="J14" s="85">
        <f t="shared" si="3"/>
        <v>-0.23414743446112485</v>
      </c>
      <c r="O14" s="87"/>
    </row>
    <row r="15" spans="2:15" ht="16.2" thickBot="1" x14ac:dyDescent="0.35">
      <c r="B15" s="86" t="s">
        <v>292</v>
      </c>
      <c r="C15" s="86">
        <v>3904</v>
      </c>
      <c r="D15" s="86">
        <v>1457</v>
      </c>
      <c r="E15" s="86">
        <v>-1344</v>
      </c>
      <c r="F15" s="86">
        <v>-68</v>
      </c>
      <c r="G15" s="143">
        <v>-2565</v>
      </c>
      <c r="H15" s="84" t="str">
        <f t="shared" si="1"/>
        <v>▲</v>
      </c>
      <c r="I15" s="86">
        <f t="shared" si="2"/>
        <v>-2497</v>
      </c>
      <c r="J15" s="85">
        <f t="shared" si="3"/>
        <v>36.720588235294116</v>
      </c>
      <c r="O15" s="87"/>
    </row>
    <row r="16" spans="2:15" ht="16.2" thickBot="1" x14ac:dyDescent="0.35">
      <c r="B16" s="88" t="s">
        <v>23</v>
      </c>
      <c r="C16" s="92">
        <f t="shared" ref="C16:D16" si="8">SUM(C12:C15)</f>
        <v>3556</v>
      </c>
      <c r="D16" s="92">
        <f t="shared" si="8"/>
        <v>-341</v>
      </c>
      <c r="E16" s="92">
        <f>SUM(E12:E15)</f>
        <v>-4305</v>
      </c>
      <c r="F16" s="92">
        <f t="shared" ref="F16:G16" si="9">SUM(F12:F15)</f>
        <v>-2343</v>
      </c>
      <c r="G16" s="145">
        <f t="shared" si="9"/>
        <v>184</v>
      </c>
      <c r="H16" s="93" t="str">
        <f t="shared" si="1"/>
        <v>▼</v>
      </c>
      <c r="I16" s="92">
        <f t="shared" si="2"/>
        <v>2527</v>
      </c>
      <c r="J16" s="94">
        <f t="shared" si="3"/>
        <v>-1.0785317968416559</v>
      </c>
    </row>
    <row r="17" spans="2:20" ht="16.2" thickBot="1" x14ac:dyDescent="0.35">
      <c r="B17" s="86" t="s">
        <v>24</v>
      </c>
      <c r="C17" s="86">
        <v>-270</v>
      </c>
      <c r="D17" s="86">
        <v>-1224</v>
      </c>
      <c r="E17" s="86">
        <v>189</v>
      </c>
      <c r="F17" s="86">
        <v>-274</v>
      </c>
      <c r="G17" s="143">
        <v>-268</v>
      </c>
      <c r="H17" s="84" t="str">
        <f t="shared" si="1"/>
        <v>▼</v>
      </c>
      <c r="I17" s="86">
        <f t="shared" si="2"/>
        <v>6</v>
      </c>
      <c r="J17" s="85">
        <f t="shared" si="3"/>
        <v>-2.1897810218978075E-2</v>
      </c>
    </row>
    <row r="18" spans="2:20" ht="16.2" thickBot="1" x14ac:dyDescent="0.35">
      <c r="B18" s="88" t="s">
        <v>159</v>
      </c>
      <c r="C18" s="92">
        <f t="shared" ref="C18:F18" si="10">C16+C17</f>
        <v>3286</v>
      </c>
      <c r="D18" s="92">
        <f t="shared" si="10"/>
        <v>-1565</v>
      </c>
      <c r="E18" s="92">
        <f>E16+E17-1</f>
        <v>-4117</v>
      </c>
      <c r="F18" s="92">
        <f t="shared" si="10"/>
        <v>-2617</v>
      </c>
      <c r="G18" s="145">
        <f t="shared" ref="G18" si="11">G16+G17</f>
        <v>-84</v>
      </c>
      <c r="H18" s="93" t="str">
        <f t="shared" si="1"/>
        <v>▼</v>
      </c>
      <c r="I18" s="92">
        <f t="shared" si="2"/>
        <v>2533</v>
      </c>
      <c r="J18" s="94">
        <f t="shared" si="3"/>
        <v>-0.96790217806648837</v>
      </c>
    </row>
    <row r="19" spans="2:20" x14ac:dyDescent="0.3">
      <c r="B19" s="95" t="s">
        <v>157</v>
      </c>
      <c r="C19" s="86">
        <v>3464</v>
      </c>
      <c r="D19" s="86">
        <v>-1491</v>
      </c>
      <c r="E19" s="86">
        <v>-4048</v>
      </c>
      <c r="F19" s="86">
        <v>-2586</v>
      </c>
      <c r="G19" s="143">
        <v>-87</v>
      </c>
      <c r="H19" s="84" t="str">
        <f t="shared" si="1"/>
        <v>▼</v>
      </c>
      <c r="I19" s="86">
        <f t="shared" si="2"/>
        <v>2499</v>
      </c>
      <c r="J19" s="85">
        <f t="shared" si="3"/>
        <v>-0.96635730858468682</v>
      </c>
    </row>
    <row r="20" spans="2:20" ht="16.2" thickBot="1" x14ac:dyDescent="0.35">
      <c r="B20" s="95" t="s">
        <v>158</v>
      </c>
      <c r="C20" s="86">
        <v>-178</v>
      </c>
      <c r="D20" s="86">
        <v>-74</v>
      </c>
      <c r="E20" s="86">
        <v>-69</v>
      </c>
      <c r="F20" s="86">
        <v>-31</v>
      </c>
      <c r="G20" s="143">
        <v>3</v>
      </c>
      <c r="H20" s="84" t="str">
        <f t="shared" si="1"/>
        <v>▼</v>
      </c>
      <c r="I20" s="86">
        <f t="shared" si="2"/>
        <v>34</v>
      </c>
      <c r="J20" s="85">
        <f t="shared" si="3"/>
        <v>-1.096774193548387</v>
      </c>
    </row>
    <row r="21" spans="2:20" ht="16.2" thickBot="1" x14ac:dyDescent="0.35">
      <c r="B21" s="88" t="s">
        <v>160</v>
      </c>
      <c r="C21" s="92">
        <f>C19+C20</f>
        <v>3286</v>
      </c>
      <c r="D21" s="92">
        <f t="shared" ref="D21:F21" si="12">D19+D20</f>
        <v>-1565</v>
      </c>
      <c r="E21" s="92">
        <f>E19+E20</f>
        <v>-4117</v>
      </c>
      <c r="F21" s="92">
        <f t="shared" si="12"/>
        <v>-2617</v>
      </c>
      <c r="G21" s="145">
        <f t="shared" ref="G21" si="13">G19+G20</f>
        <v>-84</v>
      </c>
      <c r="H21" s="93" t="str">
        <f t="shared" si="1"/>
        <v>▼</v>
      </c>
      <c r="I21" s="92">
        <f t="shared" si="2"/>
        <v>2533</v>
      </c>
      <c r="J21" s="94">
        <f t="shared" si="3"/>
        <v>-0.96790217806648837</v>
      </c>
    </row>
    <row r="22" spans="2:20" x14ac:dyDescent="0.3">
      <c r="B22" s="86" t="s">
        <v>162</v>
      </c>
      <c r="C22" s="86">
        <v>586</v>
      </c>
      <c r="D22" s="86">
        <v>-76</v>
      </c>
      <c r="E22" s="86">
        <v>-65</v>
      </c>
      <c r="F22" s="86">
        <v>1</v>
      </c>
      <c r="G22" s="143">
        <v>12</v>
      </c>
      <c r="H22" s="84" t="str">
        <f t="shared" si="1"/>
        <v>▲</v>
      </c>
      <c r="I22" s="86">
        <f t="shared" si="2"/>
        <v>11</v>
      </c>
      <c r="J22" s="96">
        <f t="shared" si="3"/>
        <v>11</v>
      </c>
    </row>
    <row r="23" spans="2:20" x14ac:dyDescent="0.3">
      <c r="B23" s="86" t="s">
        <v>163</v>
      </c>
      <c r="C23" s="86">
        <v>-1988</v>
      </c>
      <c r="D23" s="86">
        <v>0</v>
      </c>
      <c r="E23" s="86">
        <v>0</v>
      </c>
      <c r="F23" s="86">
        <v>760</v>
      </c>
      <c r="G23" s="143">
        <v>0</v>
      </c>
      <c r="H23" s="84" t="str">
        <f t="shared" si="1"/>
        <v>▼</v>
      </c>
      <c r="I23" s="86">
        <f t="shared" si="2"/>
        <v>-760</v>
      </c>
      <c r="J23" s="96" t="s">
        <v>124</v>
      </c>
    </row>
    <row r="24" spans="2:20" ht="16.2" thickBot="1" x14ac:dyDescent="0.35">
      <c r="B24" s="86"/>
      <c r="C24" s="86">
        <v>0</v>
      </c>
      <c r="D24" s="86">
        <v>0</v>
      </c>
      <c r="E24" s="86">
        <v>1276</v>
      </c>
      <c r="F24" s="86">
        <v>74</v>
      </c>
      <c r="G24" s="143">
        <v>289</v>
      </c>
      <c r="H24" s="84" t="str">
        <f t="shared" si="1"/>
        <v>▲</v>
      </c>
      <c r="I24" s="86">
        <f t="shared" si="2"/>
        <v>215</v>
      </c>
      <c r="J24" s="96" t="s">
        <v>124</v>
      </c>
    </row>
    <row r="25" spans="2:20" ht="16.2" thickBot="1" x14ac:dyDescent="0.35">
      <c r="B25" s="88" t="s">
        <v>161</v>
      </c>
      <c r="C25" s="92">
        <f>C21+C22+C23+C24</f>
        <v>1884</v>
      </c>
      <c r="D25" s="92">
        <f>D21+D22+D23+D24</f>
        <v>-1641</v>
      </c>
      <c r="E25" s="92">
        <f>E21+E22+E23+E24</f>
        <v>-2906</v>
      </c>
      <c r="F25" s="92">
        <f>F21+F22+F23+F24</f>
        <v>-1782</v>
      </c>
      <c r="G25" s="145">
        <f>G21+G22+G23+G24</f>
        <v>217</v>
      </c>
      <c r="H25" s="93" t="str">
        <f t="shared" si="1"/>
        <v>▼</v>
      </c>
      <c r="I25" s="92">
        <f t="shared" si="2"/>
        <v>1999</v>
      </c>
      <c r="J25" s="94">
        <f t="shared" si="3"/>
        <v>-1.1217732884399552</v>
      </c>
    </row>
    <row r="26" spans="2:20" x14ac:dyDescent="0.3">
      <c r="B26" s="86" t="s">
        <v>157</v>
      </c>
      <c r="C26" s="86">
        <v>2062</v>
      </c>
      <c r="D26" s="86">
        <v>-1568</v>
      </c>
      <c r="E26" s="86">
        <v>-2837</v>
      </c>
      <c r="F26" s="86">
        <v>-1751</v>
      </c>
      <c r="G26" s="143">
        <v>215</v>
      </c>
      <c r="H26" s="84" t="str">
        <f t="shared" si="1"/>
        <v>▼</v>
      </c>
      <c r="I26" s="86">
        <f t="shared" si="2"/>
        <v>1966</v>
      </c>
      <c r="J26" s="85">
        <f t="shared" si="3"/>
        <v>-1.1227869788692175</v>
      </c>
    </row>
    <row r="27" spans="2:20" x14ac:dyDescent="0.3">
      <c r="B27" s="95" t="s">
        <v>158</v>
      </c>
      <c r="C27" s="86">
        <v>-178</v>
      </c>
      <c r="D27" s="86">
        <v>-74</v>
      </c>
      <c r="E27" s="86">
        <v>-69</v>
      </c>
      <c r="F27" s="86">
        <v>-31</v>
      </c>
      <c r="G27" s="143">
        <v>3</v>
      </c>
      <c r="H27" s="84" t="str">
        <f t="shared" si="1"/>
        <v>▼</v>
      </c>
      <c r="I27" s="86">
        <f t="shared" si="2"/>
        <v>34</v>
      </c>
      <c r="J27" s="85">
        <f t="shared" si="3"/>
        <v>-1.096774193548387</v>
      </c>
    </row>
    <row r="28" spans="2:20" x14ac:dyDescent="0.3">
      <c r="C28" s="97">
        <f>C21-C18</f>
        <v>0</v>
      </c>
      <c r="D28" s="97">
        <f t="shared" ref="D28:G28" si="14">D21-D18</f>
        <v>0</v>
      </c>
      <c r="E28" s="97">
        <f t="shared" si="14"/>
        <v>0</v>
      </c>
      <c r="F28" s="97">
        <f t="shared" si="14"/>
        <v>0</v>
      </c>
      <c r="G28" s="97">
        <f t="shared" si="14"/>
        <v>0</v>
      </c>
    </row>
    <row r="29" spans="2:20" ht="15.75" customHeight="1" x14ac:dyDescent="0.3">
      <c r="B29" s="146" t="s">
        <v>27</v>
      </c>
      <c r="L29" s="146" t="s">
        <v>83</v>
      </c>
      <c r="M29" s="146"/>
      <c r="N29" s="146"/>
      <c r="R29" s="146" t="s">
        <v>299</v>
      </c>
      <c r="S29" s="146"/>
      <c r="T29" s="147">
        <v>2020</v>
      </c>
    </row>
    <row r="30" spans="2:20" ht="16.2" thickBot="1" x14ac:dyDescent="0.35"/>
    <row r="31" spans="2:20" s="82" customFormat="1" ht="18.75" customHeight="1" thickBot="1" x14ac:dyDescent="0.35">
      <c r="B31" s="140" t="s">
        <v>164</v>
      </c>
      <c r="C31" s="141">
        <f>C3</f>
        <v>2016</v>
      </c>
      <c r="D31" s="141">
        <f>D3</f>
        <v>2017</v>
      </c>
      <c r="E31" s="141">
        <f>E3</f>
        <v>2018</v>
      </c>
      <c r="F31" s="141">
        <f>F3</f>
        <v>2019</v>
      </c>
      <c r="G31" s="141">
        <f>G3</f>
        <v>2020</v>
      </c>
      <c r="H31" s="232" t="str">
        <f>CONCATENATE(G31," vs. ",F31)</f>
        <v>2020 vs. 2019</v>
      </c>
      <c r="I31" s="232"/>
      <c r="J31" s="232"/>
      <c r="L31" s="141">
        <f>C31</f>
        <v>2016</v>
      </c>
      <c r="M31" s="141">
        <f t="shared" ref="M31:P31" si="15">D31</f>
        <v>2017</v>
      </c>
      <c r="N31" s="141">
        <f t="shared" si="15"/>
        <v>2018</v>
      </c>
      <c r="O31" s="141">
        <f t="shared" si="15"/>
        <v>2019</v>
      </c>
      <c r="P31" s="141">
        <f t="shared" si="15"/>
        <v>2020</v>
      </c>
    </row>
    <row r="32" spans="2:20" s="98" customFormat="1" x14ac:dyDescent="0.3">
      <c r="B32" s="98" t="s">
        <v>125</v>
      </c>
      <c r="C32" s="99">
        <v>178719.38543999998</v>
      </c>
      <c r="D32" s="99">
        <v>195140.696</v>
      </c>
      <c r="E32" s="99">
        <v>198460.71900000001</v>
      </c>
      <c r="F32" s="99">
        <v>183857.27963</v>
      </c>
      <c r="G32" s="99">
        <v>181146.47198999999</v>
      </c>
      <c r="H32" s="84" t="str">
        <f t="shared" ref="H32:H41" si="16">IF(G32+F32&gt;0,IF(G32&gt;F32,"▲",IF(G32=F32,"▬","▼")),IF(G32&gt;F32,"▼",IF(G32=F32,"▬","▲")))</f>
        <v>▼</v>
      </c>
      <c r="I32" s="83">
        <f t="shared" ref="I32:I41" si="17">G32-F32</f>
        <v>-2710.8076400000136</v>
      </c>
      <c r="J32" s="85">
        <f t="shared" ref="J32:J41" si="18">G32/F32-1</f>
        <v>-1.4744086529809075E-2</v>
      </c>
      <c r="L32" s="100">
        <f t="shared" ref="L32:L41" si="19">C32/C$39</f>
        <v>0.664562176024042</v>
      </c>
      <c r="M32" s="100">
        <f t="shared" ref="M32:M41" si="20">D32/D$39</f>
        <v>0.67392140443385873</v>
      </c>
      <c r="N32" s="100">
        <f t="shared" ref="N32:N41" si="21">E32/E$39</f>
        <v>0.67058077235475089</v>
      </c>
      <c r="O32" s="100">
        <f t="shared" ref="O32:O41" si="22">F32/F$39</f>
        <v>0.65047910993623226</v>
      </c>
      <c r="P32" s="205">
        <f t="shared" ref="P32:P41" si="23">G32/G$39</f>
        <v>0.6045927372815646</v>
      </c>
    </row>
    <row r="33" spans="2:16" s="98" customFormat="1" x14ac:dyDescent="0.3">
      <c r="B33" s="98" t="s">
        <v>126</v>
      </c>
      <c r="C33" s="99">
        <v>64337.189229999996</v>
      </c>
      <c r="D33" s="99">
        <v>82571.305110000001</v>
      </c>
      <c r="E33" s="99">
        <v>87292.69442</v>
      </c>
      <c r="F33" s="99">
        <v>90780.619179999994</v>
      </c>
      <c r="G33" s="99">
        <v>110666.94482</v>
      </c>
      <c r="H33" s="84" t="str">
        <f t="shared" si="16"/>
        <v>▲</v>
      </c>
      <c r="I33" s="83">
        <f t="shared" si="17"/>
        <v>19886.32564000001</v>
      </c>
      <c r="J33" s="85">
        <f t="shared" si="18"/>
        <v>0.21905915403120746</v>
      </c>
      <c r="L33" s="100">
        <f t="shared" si="19"/>
        <v>0.2392357290659636</v>
      </c>
      <c r="M33" s="100">
        <f t="shared" si="20"/>
        <v>0.28516127617822917</v>
      </c>
      <c r="N33" s="100">
        <f t="shared" si="21"/>
        <v>0.29495409842333004</v>
      </c>
      <c r="O33" s="100">
        <f t="shared" si="22"/>
        <v>0.32117790757321263</v>
      </c>
      <c r="P33" s="205">
        <f t="shared" si="23"/>
        <v>0.36936093957714661</v>
      </c>
    </row>
    <row r="34" spans="2:16" s="98" customFormat="1" x14ac:dyDescent="0.3">
      <c r="B34" s="98" t="s">
        <v>127</v>
      </c>
      <c r="C34" s="99">
        <v>10878.33534</v>
      </c>
      <c r="D34" s="99">
        <v>10457.797839999999</v>
      </c>
      <c r="E34" s="99">
        <v>8606.4252100000012</v>
      </c>
      <c r="F34" s="99">
        <v>7034.1884600000012</v>
      </c>
      <c r="G34" s="99">
        <v>6867.3968000000004</v>
      </c>
      <c r="H34" s="84" t="str">
        <f t="shared" si="16"/>
        <v>▼</v>
      </c>
      <c r="I34" s="83">
        <f t="shared" si="17"/>
        <v>-166.79166000000077</v>
      </c>
      <c r="J34" s="85">
        <f t="shared" si="18"/>
        <v>-2.3711571128419928E-2</v>
      </c>
      <c r="L34" s="100">
        <f t="shared" si="19"/>
        <v>4.0450733350897078E-2</v>
      </c>
      <c r="M34" s="100">
        <f t="shared" si="20"/>
        <v>3.6116166192305545E-2</v>
      </c>
      <c r="N34" s="100">
        <f t="shared" si="21"/>
        <v>2.9080330322370743E-2</v>
      </c>
      <c r="O34" s="100">
        <f t="shared" si="22"/>
        <v>2.4886654788935085E-2</v>
      </c>
      <c r="P34" s="205">
        <f t="shared" si="23"/>
        <v>2.2920558063862614E-2</v>
      </c>
    </row>
    <row r="35" spans="2:16" s="98" customFormat="1" x14ac:dyDescent="0.3">
      <c r="B35" s="98" t="s">
        <v>128</v>
      </c>
      <c r="C35" s="99">
        <v>59.412879999999994</v>
      </c>
      <c r="D35" s="99">
        <v>2.95716</v>
      </c>
      <c r="E35" s="99">
        <v>2.3330000000000002</v>
      </c>
      <c r="F35" s="99">
        <v>0</v>
      </c>
      <c r="G35" s="99">
        <v>0</v>
      </c>
      <c r="H35" s="84" t="str">
        <f t="shared" si="16"/>
        <v>▬</v>
      </c>
      <c r="I35" s="83">
        <f t="shared" si="17"/>
        <v>0</v>
      </c>
      <c r="J35" s="85"/>
      <c r="L35" s="100">
        <f t="shared" si="19"/>
        <v>2.2092484662169327E-4</v>
      </c>
      <c r="M35" s="100">
        <f t="shared" si="20"/>
        <v>1.021259768559824E-5</v>
      </c>
      <c r="N35" s="100">
        <f t="shared" si="21"/>
        <v>7.8829954349990727E-6</v>
      </c>
      <c r="O35" s="100">
        <f t="shared" si="22"/>
        <v>0</v>
      </c>
      <c r="P35" s="205">
        <f t="shared" si="23"/>
        <v>0</v>
      </c>
    </row>
    <row r="36" spans="2:16" s="98" customFormat="1" x14ac:dyDescent="0.3">
      <c r="B36" s="98" t="s">
        <v>129</v>
      </c>
      <c r="C36" s="99">
        <v>1728.1315300000001</v>
      </c>
      <c r="D36" s="99">
        <v>1268.73245</v>
      </c>
      <c r="E36" s="99">
        <v>1582.95812</v>
      </c>
      <c r="F36" s="99">
        <v>976.92761999999993</v>
      </c>
      <c r="G36" s="99">
        <v>936.53343999999993</v>
      </c>
      <c r="H36" s="84" t="str">
        <f t="shared" si="16"/>
        <v>▼</v>
      </c>
      <c r="I36" s="83">
        <f t="shared" si="17"/>
        <v>-40.394180000000006</v>
      </c>
      <c r="J36" s="85">
        <f t="shared" si="18"/>
        <v>-4.134818094302628E-2</v>
      </c>
      <c r="L36" s="100">
        <f t="shared" si="19"/>
        <v>6.426000443125501E-3</v>
      </c>
      <c r="M36" s="100">
        <f t="shared" si="20"/>
        <v>4.3815870911663168E-3</v>
      </c>
      <c r="N36" s="100">
        <f t="shared" si="21"/>
        <v>5.3486719390290248E-3</v>
      </c>
      <c r="O36" s="100">
        <f t="shared" si="22"/>
        <v>3.456327701620316E-3</v>
      </c>
      <c r="P36" s="205">
        <f t="shared" si="23"/>
        <v>3.1257650774262806E-3</v>
      </c>
    </row>
    <row r="37" spans="2:16" s="98" customFormat="1" x14ac:dyDescent="0.3">
      <c r="B37" s="98" t="s">
        <v>130</v>
      </c>
      <c r="C37" s="99">
        <v>13205.55847</v>
      </c>
      <c r="D37" s="99">
        <v>0</v>
      </c>
      <c r="E37" s="99">
        <v>0</v>
      </c>
      <c r="F37" s="99"/>
      <c r="G37" s="99">
        <v>0</v>
      </c>
      <c r="H37" s="84" t="str">
        <f t="shared" si="16"/>
        <v>▬</v>
      </c>
      <c r="I37" s="83">
        <f t="shared" si="17"/>
        <v>0</v>
      </c>
      <c r="J37" s="85"/>
      <c r="L37" s="100">
        <f t="shared" si="19"/>
        <v>4.9104436269350231E-2</v>
      </c>
      <c r="M37" s="100">
        <f t="shared" si="20"/>
        <v>0</v>
      </c>
      <c r="N37" s="100">
        <f t="shared" si="21"/>
        <v>0</v>
      </c>
      <c r="O37" s="100">
        <f t="shared" si="22"/>
        <v>0</v>
      </c>
      <c r="P37" s="205">
        <f t="shared" si="23"/>
        <v>0</v>
      </c>
    </row>
    <row r="38" spans="2:16" s="98" customFormat="1" ht="16.2" thickBot="1" x14ac:dyDescent="0.35">
      <c r="B38" s="98" t="s">
        <v>131</v>
      </c>
      <c r="C38" s="99">
        <v>0</v>
      </c>
      <c r="D38" s="99">
        <v>118.53241</v>
      </c>
      <c r="E38" s="99">
        <v>8.3589000000000002</v>
      </c>
      <c r="F38" s="99"/>
      <c r="G38" s="99"/>
      <c r="H38" s="84" t="str">
        <f t="shared" si="16"/>
        <v>▬</v>
      </c>
      <c r="I38" s="83">
        <f t="shared" si="17"/>
        <v>0</v>
      </c>
      <c r="J38" s="85"/>
      <c r="L38" s="100">
        <f t="shared" si="19"/>
        <v>0</v>
      </c>
      <c r="M38" s="100">
        <f t="shared" si="20"/>
        <v>4.0935350675458268E-4</v>
      </c>
      <c r="N38" s="100">
        <f t="shared" si="21"/>
        <v>2.8243965084275076E-5</v>
      </c>
      <c r="O38" s="100">
        <f t="shared" si="22"/>
        <v>0</v>
      </c>
      <c r="P38" s="205">
        <f t="shared" si="23"/>
        <v>0</v>
      </c>
    </row>
    <row r="39" spans="2:16" s="108" customFormat="1" ht="16.2" thickBot="1" x14ac:dyDescent="0.35">
      <c r="B39" s="101" t="s">
        <v>134</v>
      </c>
      <c r="C39" s="102">
        <f>SUM(C32:C38)</f>
        <v>268928.01288999995</v>
      </c>
      <c r="D39" s="102">
        <f>SUM(D32:D38)</f>
        <v>289560.02097000001</v>
      </c>
      <c r="E39" s="102">
        <f>SUM(E32:E38)</f>
        <v>295953.48865000001</v>
      </c>
      <c r="F39" s="102">
        <f>SUM(F32:F38)</f>
        <v>282649.01488999993</v>
      </c>
      <c r="G39" s="102">
        <f>SUM(G32:G38)</f>
        <v>299617.34704999998</v>
      </c>
      <c r="H39" s="103" t="str">
        <f t="shared" si="16"/>
        <v>▲</v>
      </c>
      <c r="I39" s="104">
        <f t="shared" si="17"/>
        <v>16968.332160000049</v>
      </c>
      <c r="J39" s="105">
        <f t="shared" si="18"/>
        <v>6.0033225895387288E-2</v>
      </c>
      <c r="K39" s="106"/>
      <c r="L39" s="107">
        <f t="shared" si="19"/>
        <v>1</v>
      </c>
      <c r="M39" s="107">
        <f t="shared" si="20"/>
        <v>1</v>
      </c>
      <c r="N39" s="107">
        <f t="shared" si="21"/>
        <v>1</v>
      </c>
      <c r="O39" s="107">
        <f t="shared" si="22"/>
        <v>1</v>
      </c>
      <c r="P39" s="149">
        <f t="shared" si="23"/>
        <v>1</v>
      </c>
    </row>
    <row r="40" spans="2:16" s="108" customFormat="1" x14ac:dyDescent="0.3">
      <c r="B40" s="108" t="s">
        <v>132</v>
      </c>
      <c r="C40" s="109">
        <v>30691.616550000002</v>
      </c>
      <c r="D40" s="109">
        <v>37567.397550000002</v>
      </c>
      <c r="E40" s="109">
        <v>38244.446929831938</v>
      </c>
      <c r="F40" s="109">
        <v>36877.115675866298</v>
      </c>
      <c r="G40" s="109">
        <v>43567.674271254298</v>
      </c>
      <c r="H40" s="84" t="str">
        <f t="shared" si="16"/>
        <v>▲</v>
      </c>
      <c r="I40" s="83">
        <f t="shared" si="17"/>
        <v>6690.558595388</v>
      </c>
      <c r="J40" s="85">
        <f t="shared" si="18"/>
        <v>0.18142846783883759</v>
      </c>
      <c r="L40" s="110">
        <f t="shared" si="19"/>
        <v>0.11412577001620818</v>
      </c>
      <c r="M40" s="110">
        <f t="shared" si="20"/>
        <v>0.12973958706092298</v>
      </c>
      <c r="N40" s="110">
        <f t="shared" si="21"/>
        <v>0.1292245180291168</v>
      </c>
      <c r="O40" s="110">
        <f t="shared" si="22"/>
        <v>0.13046964161618596</v>
      </c>
      <c r="P40" s="206">
        <f t="shared" si="23"/>
        <v>0.14541105413360378</v>
      </c>
    </row>
    <row r="41" spans="2:16" s="111" customFormat="1" ht="16.2" thickBot="1" x14ac:dyDescent="0.35">
      <c r="B41" s="111" t="s">
        <v>133</v>
      </c>
      <c r="C41" s="112">
        <f t="shared" ref="C41:F41" si="24">C39-C40</f>
        <v>238236.39633999995</v>
      </c>
      <c r="D41" s="112">
        <f t="shared" si="24"/>
        <v>251992.62342000002</v>
      </c>
      <c r="E41" s="112">
        <f t="shared" si="24"/>
        <v>257709.04172016808</v>
      </c>
      <c r="F41" s="112">
        <f t="shared" si="24"/>
        <v>245771.89921413362</v>
      </c>
      <c r="G41" s="112">
        <f>G39-G40</f>
        <v>256049.67277874568</v>
      </c>
      <c r="H41" s="113" t="str">
        <f t="shared" si="16"/>
        <v>▲</v>
      </c>
      <c r="I41" s="114">
        <f t="shared" si="17"/>
        <v>10277.773564612056</v>
      </c>
      <c r="J41" s="115">
        <f t="shared" si="18"/>
        <v>4.1818342932921526E-2</v>
      </c>
      <c r="L41" s="116">
        <f t="shared" si="19"/>
        <v>0.88587422998379184</v>
      </c>
      <c r="M41" s="116">
        <f t="shared" si="20"/>
        <v>0.87026041293907708</v>
      </c>
      <c r="N41" s="116">
        <f t="shared" si="21"/>
        <v>0.87077548197088328</v>
      </c>
      <c r="O41" s="116">
        <f t="shared" si="22"/>
        <v>0.86953035838381398</v>
      </c>
      <c r="P41" s="150">
        <f t="shared" si="23"/>
        <v>0.85458894586639622</v>
      </c>
    </row>
    <row r="42" spans="2:16" s="108" customFormat="1" ht="10.199999999999999" customHeight="1" x14ac:dyDescent="0.3">
      <c r="B42" s="117"/>
      <c r="C42" s="118">
        <f>C41-C4</f>
        <v>0.39633999994839542</v>
      </c>
      <c r="D42" s="118">
        <f>D41-D4</f>
        <v>-0.37657999998191372</v>
      </c>
      <c r="E42" s="118">
        <f>E41-E4</f>
        <v>4.1720168082974851E-2</v>
      </c>
      <c r="F42" s="118">
        <f>F41-F4</f>
        <v>-0.10078586637973785</v>
      </c>
      <c r="G42" s="118">
        <f>G41-G4</f>
        <v>-0.32722125432337634</v>
      </c>
      <c r="H42" s="119"/>
      <c r="I42" s="120"/>
      <c r="J42" s="121"/>
    </row>
    <row r="43" spans="2:16" ht="18.75" customHeight="1" x14ac:dyDescent="0.3">
      <c r="B43" s="146" t="s">
        <v>258</v>
      </c>
      <c r="J43" s="122"/>
      <c r="L43" s="146" t="s">
        <v>83</v>
      </c>
      <c r="M43" s="146"/>
      <c r="N43" s="146"/>
    </row>
    <row r="44" spans="2:16" ht="8.25" customHeight="1" thickBot="1" x14ac:dyDescent="0.35"/>
    <row r="45" spans="2:16" s="82" customFormat="1" ht="18" customHeight="1" thickBot="1" x14ac:dyDescent="0.35">
      <c r="B45" s="140" t="s">
        <v>18</v>
      </c>
      <c r="C45" s="141">
        <f>C3</f>
        <v>2016</v>
      </c>
      <c r="D45" s="141">
        <f>D3</f>
        <v>2017</v>
      </c>
      <c r="E45" s="141">
        <f>E3</f>
        <v>2018</v>
      </c>
      <c r="F45" s="141">
        <f>F3</f>
        <v>2019</v>
      </c>
      <c r="G45" s="141">
        <f>G3</f>
        <v>2020</v>
      </c>
      <c r="H45" s="232" t="str">
        <f>CONCATENATE(G45," vs. ",F45)</f>
        <v>2020 vs. 2019</v>
      </c>
      <c r="I45" s="232"/>
      <c r="J45" s="232"/>
      <c r="L45" s="141">
        <f>C45</f>
        <v>2016</v>
      </c>
      <c r="M45" s="141">
        <f>L45+1</f>
        <v>2017</v>
      </c>
      <c r="N45" s="141">
        <f t="shared" ref="N45:P45" si="25">M45+1</f>
        <v>2018</v>
      </c>
      <c r="O45" s="141">
        <f t="shared" si="25"/>
        <v>2019</v>
      </c>
      <c r="P45" s="141">
        <f t="shared" si="25"/>
        <v>2020</v>
      </c>
    </row>
    <row r="46" spans="2:16" x14ac:dyDescent="0.3">
      <c r="B46" s="123" t="s">
        <v>165</v>
      </c>
      <c r="C46" s="84">
        <v>165529.859</v>
      </c>
      <c r="D46" s="84">
        <v>201488.389</v>
      </c>
      <c r="E46" s="84">
        <v>215450.67</v>
      </c>
      <c r="F46" s="84">
        <v>213203.57595217999</v>
      </c>
      <c r="G46" s="84">
        <v>221265.57459231964</v>
      </c>
      <c r="H46" s="84" t="str">
        <f t="shared" ref="H46:H52" si="26">IF(G46+F46&gt;0,IF(G46&gt;F46,"▲",IF(G46=F46,"▬","▼")),IF(G46&gt;F46,"▼",IF(G46=F46,"▬","▲")))</f>
        <v>▲</v>
      </c>
      <c r="I46" s="124">
        <f t="shared" ref="I46:I52" si="27">G46-F46</f>
        <v>8061.9986401396454</v>
      </c>
      <c r="J46" s="85">
        <f t="shared" ref="J46:J52" si="28">G46/F46-1</f>
        <v>3.7813618294788354E-2</v>
      </c>
      <c r="L46" s="100">
        <f>C46/C$52</f>
        <v>0.69481348137424592</v>
      </c>
      <c r="M46" s="100">
        <f t="shared" ref="M46:P52" si="29">D46/D$52</f>
        <v>0.79958051231984295</v>
      </c>
      <c r="N46" s="100">
        <f t="shared" si="29"/>
        <v>0.83602292979675175</v>
      </c>
      <c r="O46" s="100">
        <f t="shared" si="29"/>
        <v>0.8674855694809197</v>
      </c>
      <c r="P46" s="148">
        <f t="shared" si="29"/>
        <v>0.86415097582849387</v>
      </c>
    </row>
    <row r="47" spans="2:16" x14ac:dyDescent="0.3">
      <c r="B47" s="123" t="s">
        <v>166</v>
      </c>
      <c r="C47" s="84">
        <v>14343.199000000001</v>
      </c>
      <c r="D47" s="84">
        <v>15940.722</v>
      </c>
      <c r="E47" s="84">
        <v>14532.441000000001</v>
      </c>
      <c r="F47" s="84">
        <v>11993.5191323</v>
      </c>
      <c r="G47" s="84">
        <v>12402.731686426057</v>
      </c>
      <c r="H47" s="84" t="str">
        <f t="shared" si="26"/>
        <v>▲</v>
      </c>
      <c r="I47" s="124">
        <f t="shared" si="27"/>
        <v>409.21255412605751</v>
      </c>
      <c r="J47" s="85">
        <f t="shared" si="28"/>
        <v>3.4119473159800018E-2</v>
      </c>
      <c r="L47" s="100">
        <f t="shared" ref="L47:L52" si="30">C47/C$52</f>
        <v>6.0205742283835351E-2</v>
      </c>
      <c r="M47" s="100">
        <f t="shared" si="29"/>
        <v>6.3258685658101083E-2</v>
      </c>
      <c r="N47" s="100">
        <f t="shared" si="29"/>
        <v>5.6390884752961945E-2</v>
      </c>
      <c r="O47" s="100">
        <f t="shared" si="29"/>
        <v>4.8799391511599968E-2</v>
      </c>
      <c r="P47" s="148">
        <f t="shared" si="29"/>
        <v>4.8438771867298357E-2</v>
      </c>
    </row>
    <row r="48" spans="2:16" x14ac:dyDescent="0.3">
      <c r="B48" s="123" t="s">
        <v>167</v>
      </c>
      <c r="C48" s="84">
        <v>9.6270000000000007</v>
      </c>
      <c r="D48" s="84">
        <v>64.096999999999994</v>
      </c>
      <c r="E48" s="84">
        <v>378.238</v>
      </c>
      <c r="F48" s="84">
        <v>325.90291000000002</v>
      </c>
      <c r="G48" s="84">
        <v>329.14976000000001</v>
      </c>
      <c r="H48" s="84" t="str">
        <f t="shared" si="26"/>
        <v>▲</v>
      </c>
      <c r="I48" s="124">
        <f t="shared" si="27"/>
        <v>3.2468499999999949</v>
      </c>
      <c r="J48" s="85">
        <f t="shared" si="28"/>
        <v>9.9626296678356763E-3</v>
      </c>
      <c r="L48" s="100">
        <f t="shared" si="30"/>
        <v>4.0409442898092887E-5</v>
      </c>
      <c r="M48" s="100">
        <f t="shared" si="29"/>
        <v>2.5436062272632973E-4</v>
      </c>
      <c r="N48" s="100">
        <f t="shared" si="29"/>
        <v>1.4676939316107197E-3</v>
      </c>
      <c r="O48" s="100">
        <f t="shared" si="29"/>
        <v>1.3260381314629081E-3</v>
      </c>
      <c r="P48" s="148">
        <f t="shared" si="29"/>
        <v>1.2854918205047682E-3</v>
      </c>
    </row>
    <row r="49" spans="2:16" x14ac:dyDescent="0.3">
      <c r="B49" s="123" t="s">
        <v>168</v>
      </c>
      <c r="C49" s="84">
        <v>18245.234</v>
      </c>
      <c r="D49" s="84">
        <v>7160.2969999999996</v>
      </c>
      <c r="E49" s="84">
        <v>3690.5169999999998</v>
      </c>
      <c r="F49" s="84">
        <v>2787.4526800000008</v>
      </c>
      <c r="G49" s="84">
        <v>3958.6492199999993</v>
      </c>
      <c r="H49" s="84" t="str">
        <f t="shared" si="26"/>
        <v>▲</v>
      </c>
      <c r="I49" s="124">
        <f t="shared" si="27"/>
        <v>1171.1965399999985</v>
      </c>
      <c r="J49" s="85">
        <f t="shared" si="28"/>
        <v>0.42016732639206578</v>
      </c>
      <c r="L49" s="100">
        <f t="shared" si="30"/>
        <v>7.6584578943112366E-2</v>
      </c>
      <c r="M49" s="100">
        <f t="shared" si="29"/>
        <v>2.8414709016419969E-2</v>
      </c>
      <c r="N49" s="100">
        <f t="shared" si="29"/>
        <v>1.4320479183493457E-2</v>
      </c>
      <c r="O49" s="100">
        <f t="shared" si="29"/>
        <v>1.1341624851795512E-2</v>
      </c>
      <c r="P49" s="148">
        <f t="shared" si="29"/>
        <v>1.5460473653566023E-2</v>
      </c>
    </row>
    <row r="50" spans="2:16" x14ac:dyDescent="0.3">
      <c r="B50" s="123" t="s">
        <v>169</v>
      </c>
      <c r="C50" s="84">
        <v>39168.733</v>
      </c>
      <c r="D50" s="84">
        <v>26633.308000000001</v>
      </c>
      <c r="E50" s="84">
        <v>23046.913</v>
      </c>
      <c r="F50" s="84">
        <v>16873.304649653724</v>
      </c>
      <c r="G50" s="84">
        <v>17605.357059999998</v>
      </c>
      <c r="H50" s="84" t="str">
        <f t="shared" si="26"/>
        <v>▲</v>
      </c>
      <c r="I50" s="124">
        <f t="shared" si="27"/>
        <v>732.05241034627397</v>
      </c>
      <c r="J50" s="85">
        <f t="shared" si="28"/>
        <v>4.3385242283366043E-2</v>
      </c>
      <c r="L50" s="100">
        <f t="shared" si="30"/>
        <v>0.16441120593685948</v>
      </c>
      <c r="M50" s="100">
        <f t="shared" si="29"/>
        <v>0.10569082497062485</v>
      </c>
      <c r="N50" s="100">
        <f t="shared" si="29"/>
        <v>8.9429973594562701E-2</v>
      </c>
      <c r="O50" s="100">
        <f t="shared" si="29"/>
        <v>6.8654328275961768E-2</v>
      </c>
      <c r="P50" s="148">
        <f t="shared" si="29"/>
        <v>6.8757584686362436E-2</v>
      </c>
    </row>
    <row r="51" spans="2:16" ht="16.2" thickBot="1" x14ac:dyDescent="0.35">
      <c r="B51" s="123" t="s">
        <v>170</v>
      </c>
      <c r="C51" s="84">
        <v>939.74300000000005</v>
      </c>
      <c r="D51" s="84">
        <v>705.80799999999999</v>
      </c>
      <c r="E51" s="84">
        <v>610.26499999999999</v>
      </c>
      <c r="F51" s="84">
        <v>588.14389000000062</v>
      </c>
      <c r="G51" s="84">
        <v>488.21045999999905</v>
      </c>
      <c r="H51" s="84" t="str">
        <f t="shared" si="26"/>
        <v>▼</v>
      </c>
      <c r="I51" s="124">
        <f t="shared" si="27"/>
        <v>-99.933430000001579</v>
      </c>
      <c r="J51" s="85">
        <f t="shared" si="28"/>
        <v>-0.16991323330758645</v>
      </c>
      <c r="L51" s="100">
        <f t="shared" si="30"/>
        <v>3.9445820190487689E-3</v>
      </c>
      <c r="M51" s="100">
        <f t="shared" si="29"/>
        <v>2.800907412284902E-3</v>
      </c>
      <c r="N51" s="100">
        <f t="shared" si="29"/>
        <v>2.3680387406194402E-3</v>
      </c>
      <c r="O51" s="100">
        <f t="shared" si="29"/>
        <v>2.3930477482601393E-3</v>
      </c>
      <c r="P51" s="148">
        <f t="shared" si="29"/>
        <v>1.9067021437745211E-3</v>
      </c>
    </row>
    <row r="52" spans="2:16" ht="16.2" thickBot="1" x14ac:dyDescent="0.35">
      <c r="B52" s="88" t="s">
        <v>247</v>
      </c>
      <c r="C52" s="89">
        <f>SUM(C46:C51)</f>
        <v>238236.39499999999</v>
      </c>
      <c r="D52" s="89">
        <f>SUM(D46:D51)</f>
        <v>251992.62099999998</v>
      </c>
      <c r="E52" s="89">
        <f>SUM(E46:E51)</f>
        <v>257709.04400000002</v>
      </c>
      <c r="F52" s="89">
        <f>SUM(F46:F51)</f>
        <v>245771.89921413371</v>
      </c>
      <c r="G52" s="89">
        <f>SUM(G46:G51)</f>
        <v>256049.67277874571</v>
      </c>
      <c r="H52" s="93" t="str">
        <f t="shared" si="26"/>
        <v>▲</v>
      </c>
      <c r="I52" s="125">
        <f t="shared" si="27"/>
        <v>10277.773564611998</v>
      </c>
      <c r="J52" s="94">
        <f t="shared" si="28"/>
        <v>4.1818342932921304E-2</v>
      </c>
      <c r="L52" s="107">
        <f t="shared" si="30"/>
        <v>1</v>
      </c>
      <c r="M52" s="107">
        <f t="shared" si="29"/>
        <v>1</v>
      </c>
      <c r="N52" s="107">
        <f t="shared" si="29"/>
        <v>1</v>
      </c>
      <c r="O52" s="107">
        <f t="shared" si="29"/>
        <v>1</v>
      </c>
      <c r="P52" s="149">
        <f t="shared" si="29"/>
        <v>1</v>
      </c>
    </row>
    <row r="53" spans="2:16" ht="16.2" thickBot="1" x14ac:dyDescent="0.35">
      <c r="B53" s="126" t="s">
        <v>245</v>
      </c>
      <c r="C53" s="127">
        <v>1976.0930000000001</v>
      </c>
      <c r="D53" s="127">
        <v>2403.616</v>
      </c>
      <c r="E53" s="127">
        <v>2306.7930000000001</v>
      </c>
      <c r="F53" s="127">
        <v>2935.5410400000001</v>
      </c>
      <c r="G53" s="127">
        <f>1415650.08/1000</f>
        <v>1415.6500800000001</v>
      </c>
      <c r="H53" s="99" t="str">
        <f t="shared" ref="H53" si="31">IF(G53+F53&gt;0,IF(G53&gt;F53,"▲",IF(G53=F53,"▬","▼")),IF(G53&gt;F53,"▼",IF(G53=F53,"▬","▲")))</f>
        <v>▼</v>
      </c>
      <c r="I53" s="124">
        <f t="shared" ref="I53" si="32">G53-F53</f>
        <v>-1519.89096</v>
      </c>
      <c r="J53" s="128">
        <f t="shared" ref="J53" si="33">G53/F53-1</f>
        <v>-0.51775496894432793</v>
      </c>
      <c r="L53" s="129"/>
      <c r="M53" s="129"/>
      <c r="N53" s="129"/>
      <c r="O53" s="129"/>
      <c r="P53" s="129"/>
    </row>
    <row r="54" spans="2:16" ht="16.2" thickBot="1" x14ac:dyDescent="0.35">
      <c r="B54" s="88" t="s">
        <v>309</v>
      </c>
      <c r="C54" s="89">
        <f>C52+C53</f>
        <v>240212.48799999998</v>
      </c>
      <c r="D54" s="89">
        <f t="shared" ref="C54:F54" si="34">D52+D53</f>
        <v>254396.23699999999</v>
      </c>
      <c r="E54" s="89">
        <f t="shared" si="34"/>
        <v>260015.83700000003</v>
      </c>
      <c r="F54" s="89">
        <f t="shared" si="34"/>
        <v>248707.44025413372</v>
      </c>
      <c r="G54" s="89">
        <f t="shared" ref="G54" si="35">G52+G53</f>
        <v>257465.3228587457</v>
      </c>
      <c r="H54" s="93" t="str">
        <f t="shared" ref="H54" si="36">IF(G54+F54&gt;0,IF(G54&gt;F54,"▲",IF(G54=F54,"▬","▼")),IF(G54&gt;F54,"▼",IF(G54=F54,"▬","▲")))</f>
        <v>▲</v>
      </c>
      <c r="I54" s="125">
        <f t="shared" ref="I54" si="37">G54-F54</f>
        <v>8757.8826046119793</v>
      </c>
      <c r="J54" s="94">
        <f t="shared" ref="J54" si="38">G54/F54-1</f>
        <v>3.5213593110294594E-2</v>
      </c>
    </row>
    <row r="56" spans="2:16" x14ac:dyDescent="0.3">
      <c r="B56" s="130" t="s">
        <v>255</v>
      </c>
    </row>
    <row r="57" spans="2:16" x14ac:dyDescent="0.3">
      <c r="B57" s="130"/>
    </row>
  </sheetData>
  <mergeCells count="3">
    <mergeCell ref="H3:J3"/>
    <mergeCell ref="H45:J45"/>
    <mergeCell ref="H31:J31"/>
  </mergeCells>
  <conditionalFormatting sqref="H4:H6 H40:H41 H46:H51 H11 H16:H17 H33:H38">
    <cfRule type="expression" dxfId="53" priority="58">
      <formula>G4=F4</formula>
    </cfRule>
    <cfRule type="expression" dxfId="52" priority="59">
      <formula>G4&lt;F4</formula>
    </cfRule>
    <cfRule type="expression" dxfId="51" priority="60">
      <formula>G4&gt;F4</formula>
    </cfRule>
  </conditionalFormatting>
  <conditionalFormatting sqref="H52">
    <cfRule type="expression" dxfId="50" priority="46">
      <formula>G52=F52</formula>
    </cfRule>
    <cfRule type="expression" dxfId="49" priority="47">
      <formula>G52&lt;F52</formula>
    </cfRule>
    <cfRule type="expression" dxfId="48" priority="48">
      <formula>G52&gt;F52</formula>
    </cfRule>
  </conditionalFormatting>
  <conditionalFormatting sqref="H19:H20 H22:H24 H26:H27">
    <cfRule type="expression" dxfId="47" priority="43">
      <formula>G19=F19</formula>
    </cfRule>
    <cfRule type="expression" dxfId="46" priority="44">
      <formula>G19&lt;F19</formula>
    </cfRule>
    <cfRule type="expression" dxfId="45" priority="45">
      <formula>G19&gt;F19</formula>
    </cfRule>
  </conditionalFormatting>
  <conditionalFormatting sqref="H18">
    <cfRule type="expression" dxfId="44" priority="40">
      <formula>G18=F18</formula>
    </cfRule>
    <cfRule type="expression" dxfId="43" priority="41">
      <formula>G18&lt;F18</formula>
    </cfRule>
    <cfRule type="expression" dxfId="42" priority="42">
      <formula>G18&gt;F18</formula>
    </cfRule>
  </conditionalFormatting>
  <conditionalFormatting sqref="H21">
    <cfRule type="expression" dxfId="41" priority="37">
      <formula>G21=F21</formula>
    </cfRule>
    <cfRule type="expression" dxfId="40" priority="38">
      <formula>G21&lt;F21</formula>
    </cfRule>
    <cfRule type="expression" dxfId="39" priority="39">
      <formula>G21&gt;F21</formula>
    </cfRule>
  </conditionalFormatting>
  <conditionalFormatting sqref="H25">
    <cfRule type="expression" dxfId="38" priority="34">
      <formula>G25=F25</formula>
    </cfRule>
    <cfRule type="expression" dxfId="37" priority="35">
      <formula>G25&lt;F25</formula>
    </cfRule>
    <cfRule type="expression" dxfId="36" priority="36">
      <formula>G25&gt;F25</formula>
    </cfRule>
  </conditionalFormatting>
  <conditionalFormatting sqref="H32">
    <cfRule type="expression" dxfId="35" priority="31">
      <formula>G32=F32</formula>
    </cfRule>
    <cfRule type="expression" dxfId="34" priority="32">
      <formula>G32&lt;F32</formula>
    </cfRule>
    <cfRule type="expression" dxfId="33" priority="33">
      <formula>G32&gt;F32</formula>
    </cfRule>
  </conditionalFormatting>
  <conditionalFormatting sqref="H39">
    <cfRule type="expression" dxfId="32" priority="28">
      <formula>G39=F39</formula>
    </cfRule>
    <cfRule type="expression" dxfId="31" priority="29">
      <formula>G39&lt;F39</formula>
    </cfRule>
    <cfRule type="expression" dxfId="30" priority="30">
      <formula>G39&gt;F39</formula>
    </cfRule>
  </conditionalFormatting>
  <conditionalFormatting sqref="H54">
    <cfRule type="expression" dxfId="29" priority="22">
      <formula>G54=F54</formula>
    </cfRule>
    <cfRule type="expression" dxfId="28" priority="23">
      <formula>G54&lt;F54</formula>
    </cfRule>
    <cfRule type="expression" dxfId="27" priority="24">
      <formula>G54&gt;F54</formula>
    </cfRule>
  </conditionalFormatting>
  <conditionalFormatting sqref="H53">
    <cfRule type="expression" dxfId="26" priority="19">
      <formula>G53=F53</formula>
    </cfRule>
    <cfRule type="expression" dxfId="25" priority="20">
      <formula>G53&lt;F53</formula>
    </cfRule>
    <cfRule type="expression" dxfId="24" priority="21">
      <formula>G53&gt;F53</formula>
    </cfRule>
  </conditionalFormatting>
  <conditionalFormatting sqref="H7">
    <cfRule type="expression" dxfId="23" priority="16">
      <formula>G7=F7</formula>
    </cfRule>
    <cfRule type="expression" dxfId="22" priority="17">
      <formula>G7&lt;F7</formula>
    </cfRule>
    <cfRule type="expression" dxfId="21" priority="18">
      <formula>G7&gt;F7</formula>
    </cfRule>
  </conditionalFormatting>
  <conditionalFormatting sqref="H8">
    <cfRule type="expression" dxfId="20" priority="13">
      <formula>G8=F8</formula>
    </cfRule>
    <cfRule type="expression" dxfId="19" priority="14">
      <formula>G8&lt;F8</formula>
    </cfRule>
    <cfRule type="expression" dxfId="18" priority="15">
      <formula>G8&gt;F8</formula>
    </cfRule>
  </conditionalFormatting>
  <conditionalFormatting sqref="H9">
    <cfRule type="expression" dxfId="17" priority="10">
      <formula>G9=F9</formula>
    </cfRule>
    <cfRule type="expression" dxfId="16" priority="11">
      <formula>G9&lt;F9</formula>
    </cfRule>
    <cfRule type="expression" dxfId="15" priority="12">
      <formula>G9&gt;F9</formula>
    </cfRule>
  </conditionalFormatting>
  <conditionalFormatting sqref="H10">
    <cfRule type="expression" dxfId="14" priority="7">
      <formula>G10=F10</formula>
    </cfRule>
    <cfRule type="expression" dxfId="13" priority="8">
      <formula>G10&lt;F10</formula>
    </cfRule>
    <cfRule type="expression" dxfId="12" priority="9">
      <formula>G10&gt;F10</formula>
    </cfRule>
  </conditionalFormatting>
  <conditionalFormatting sqref="H12">
    <cfRule type="expression" dxfId="11" priority="4">
      <formula>G12=F12</formula>
    </cfRule>
    <cfRule type="expression" dxfId="10" priority="5">
      <formula>G12&lt;F12</formula>
    </cfRule>
    <cfRule type="expression" dxfId="9" priority="6">
      <formula>G12&gt;F12</formula>
    </cfRule>
  </conditionalFormatting>
  <conditionalFormatting sqref="H13:H15">
    <cfRule type="expression" dxfId="8" priority="1">
      <formula>G13=F13</formula>
    </cfRule>
    <cfRule type="expression" dxfId="7" priority="2">
      <formula>G13&lt;F13</formula>
    </cfRule>
    <cfRule type="expression" dxfId="6" priority="3">
      <formula>G13&gt;F13</formula>
    </cfRule>
  </conditionalFormatting>
  <dataValidations count="1">
    <dataValidation type="list" allowBlank="1" showInputMessage="1" showErrorMessage="1" sqref="T29" xr:uid="{A4DC12F0-B619-498D-8357-917994C92595}">
      <formula1>"2020,2019,2018,2017,2016"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T80"/>
  <sheetViews>
    <sheetView topLeftCell="A3" zoomScale="90" zoomScaleNormal="90" workbookViewId="0">
      <pane xSplit="2" ySplit="3" topLeftCell="C6" activePane="bottomRight" state="frozen"/>
      <selection activeCell="A3" sqref="A3"/>
      <selection pane="topRight" activeCell="C3" sqref="C3"/>
      <selection pane="bottomLeft" activeCell="A6" sqref="A6"/>
      <selection pane="bottomRight" activeCell="H9" sqref="H9"/>
    </sheetView>
  </sheetViews>
  <sheetFormatPr defaultRowHeight="14.4" x14ac:dyDescent="0.3"/>
  <cols>
    <col min="1" max="1" width="4.109375" style="9" customWidth="1"/>
    <col min="2" max="2" width="71.88671875" style="9" bestFit="1" customWidth="1"/>
    <col min="3" max="3" width="12.88671875" style="9" bestFit="1" customWidth="1"/>
    <col min="4" max="4" width="13.5546875" style="9" bestFit="1" customWidth="1"/>
    <col min="5" max="6" width="12.88671875" style="9" bestFit="1" customWidth="1"/>
    <col min="7" max="7" width="9.33203125" style="9" bestFit="1" customWidth="1"/>
    <col min="8" max="8" width="9.109375" style="9"/>
    <col min="9" max="9" width="14.33203125" style="9" bestFit="1" customWidth="1"/>
    <col min="10" max="10" width="14.33203125" style="9" customWidth="1"/>
    <col min="11" max="16" width="9.109375" style="9"/>
    <col min="17" max="17" width="10.5546875" style="9" bestFit="1" customWidth="1"/>
    <col min="18" max="18" width="10.44140625" style="9" bestFit="1" customWidth="1"/>
    <col min="19" max="19" width="10.5546875" style="9" bestFit="1" customWidth="1"/>
    <col min="20" max="252" width="9.109375" style="9"/>
    <col min="253" max="253" width="56.33203125" style="9" customWidth="1"/>
    <col min="254" max="254" width="65" style="9" bestFit="1" customWidth="1"/>
    <col min="255" max="255" width="12.5546875" style="9" bestFit="1" customWidth="1"/>
    <col min="256" max="256" width="11.5546875" style="9" bestFit="1" customWidth="1"/>
    <col min="257" max="257" width="12.33203125" style="9" bestFit="1" customWidth="1"/>
    <col min="258" max="259" width="11.5546875" style="9" bestFit="1" customWidth="1"/>
    <col min="260" max="260" width="2.44140625" style="9" customWidth="1"/>
    <col min="261" max="508" width="9.109375" style="9"/>
    <col min="509" max="509" width="56.33203125" style="9" customWidth="1"/>
    <col min="510" max="510" width="65" style="9" bestFit="1" customWidth="1"/>
    <col min="511" max="511" width="12.5546875" style="9" bestFit="1" customWidth="1"/>
    <col min="512" max="512" width="11.5546875" style="9" bestFit="1" customWidth="1"/>
    <col min="513" max="513" width="12.33203125" style="9" bestFit="1" customWidth="1"/>
    <col min="514" max="515" width="11.5546875" style="9" bestFit="1" customWidth="1"/>
    <col min="516" max="516" width="2.44140625" style="9" customWidth="1"/>
    <col min="517" max="764" width="9.109375" style="9"/>
    <col min="765" max="765" width="56.33203125" style="9" customWidth="1"/>
    <col min="766" max="766" width="65" style="9" bestFit="1" customWidth="1"/>
    <col min="767" max="767" width="12.5546875" style="9" bestFit="1" customWidth="1"/>
    <col min="768" max="768" width="11.5546875" style="9" bestFit="1" customWidth="1"/>
    <col min="769" max="769" width="12.33203125" style="9" bestFit="1" customWidth="1"/>
    <col min="770" max="771" width="11.5546875" style="9" bestFit="1" customWidth="1"/>
    <col min="772" max="772" width="2.44140625" style="9" customWidth="1"/>
    <col min="773" max="1020" width="9.109375" style="9"/>
    <col min="1021" max="1021" width="56.33203125" style="9" customWidth="1"/>
    <col min="1022" max="1022" width="65" style="9" bestFit="1" customWidth="1"/>
    <col min="1023" max="1023" width="12.5546875" style="9" bestFit="1" customWidth="1"/>
    <col min="1024" max="1024" width="11.5546875" style="9" bestFit="1" customWidth="1"/>
    <col min="1025" max="1025" width="12.33203125" style="9" bestFit="1" customWidth="1"/>
    <col min="1026" max="1027" width="11.5546875" style="9" bestFit="1" customWidth="1"/>
    <col min="1028" max="1028" width="2.44140625" style="9" customWidth="1"/>
    <col min="1029" max="1276" width="9.109375" style="9"/>
    <col min="1277" max="1277" width="56.33203125" style="9" customWidth="1"/>
    <col min="1278" max="1278" width="65" style="9" bestFit="1" customWidth="1"/>
    <col min="1279" max="1279" width="12.5546875" style="9" bestFit="1" customWidth="1"/>
    <col min="1280" max="1280" width="11.5546875" style="9" bestFit="1" customWidth="1"/>
    <col min="1281" max="1281" width="12.33203125" style="9" bestFit="1" customWidth="1"/>
    <col min="1282" max="1283" width="11.5546875" style="9" bestFit="1" customWidth="1"/>
    <col min="1284" max="1284" width="2.44140625" style="9" customWidth="1"/>
    <col min="1285" max="1532" width="9.109375" style="9"/>
    <col min="1533" max="1533" width="56.33203125" style="9" customWidth="1"/>
    <col min="1534" max="1534" width="65" style="9" bestFit="1" customWidth="1"/>
    <col min="1535" max="1535" width="12.5546875" style="9" bestFit="1" customWidth="1"/>
    <col min="1536" max="1536" width="11.5546875" style="9" bestFit="1" customWidth="1"/>
    <col min="1537" max="1537" width="12.33203125" style="9" bestFit="1" customWidth="1"/>
    <col min="1538" max="1539" width="11.5546875" style="9" bestFit="1" customWidth="1"/>
    <col min="1540" max="1540" width="2.44140625" style="9" customWidth="1"/>
    <col min="1541" max="1788" width="9.109375" style="9"/>
    <col min="1789" max="1789" width="56.33203125" style="9" customWidth="1"/>
    <col min="1790" max="1790" width="65" style="9" bestFit="1" customWidth="1"/>
    <col min="1791" max="1791" width="12.5546875" style="9" bestFit="1" customWidth="1"/>
    <col min="1792" max="1792" width="11.5546875" style="9" bestFit="1" customWidth="1"/>
    <col min="1793" max="1793" width="12.33203125" style="9" bestFit="1" customWidth="1"/>
    <col min="1794" max="1795" width="11.5546875" style="9" bestFit="1" customWidth="1"/>
    <col min="1796" max="1796" width="2.44140625" style="9" customWidth="1"/>
    <col min="1797" max="2044" width="9.109375" style="9"/>
    <col min="2045" max="2045" width="56.33203125" style="9" customWidth="1"/>
    <col min="2046" max="2046" width="65" style="9" bestFit="1" customWidth="1"/>
    <col min="2047" max="2047" width="12.5546875" style="9" bestFit="1" customWidth="1"/>
    <col min="2048" max="2048" width="11.5546875" style="9" bestFit="1" customWidth="1"/>
    <col min="2049" max="2049" width="12.33203125" style="9" bestFit="1" customWidth="1"/>
    <col min="2050" max="2051" width="11.5546875" style="9" bestFit="1" customWidth="1"/>
    <col min="2052" max="2052" width="2.44140625" style="9" customWidth="1"/>
    <col min="2053" max="2300" width="9.109375" style="9"/>
    <col min="2301" max="2301" width="56.33203125" style="9" customWidth="1"/>
    <col min="2302" max="2302" width="65" style="9" bestFit="1" customWidth="1"/>
    <col min="2303" max="2303" width="12.5546875" style="9" bestFit="1" customWidth="1"/>
    <col min="2304" max="2304" width="11.5546875" style="9" bestFit="1" customWidth="1"/>
    <col min="2305" max="2305" width="12.33203125" style="9" bestFit="1" customWidth="1"/>
    <col min="2306" max="2307" width="11.5546875" style="9" bestFit="1" customWidth="1"/>
    <col min="2308" max="2308" width="2.44140625" style="9" customWidth="1"/>
    <col min="2309" max="2556" width="9.109375" style="9"/>
    <col min="2557" max="2557" width="56.33203125" style="9" customWidth="1"/>
    <col min="2558" max="2558" width="65" style="9" bestFit="1" customWidth="1"/>
    <col min="2559" max="2559" width="12.5546875" style="9" bestFit="1" customWidth="1"/>
    <col min="2560" max="2560" width="11.5546875" style="9" bestFit="1" customWidth="1"/>
    <col min="2561" max="2561" width="12.33203125" style="9" bestFit="1" customWidth="1"/>
    <col min="2562" max="2563" width="11.5546875" style="9" bestFit="1" customWidth="1"/>
    <col min="2564" max="2564" width="2.44140625" style="9" customWidth="1"/>
    <col min="2565" max="2812" width="9.109375" style="9"/>
    <col min="2813" max="2813" width="56.33203125" style="9" customWidth="1"/>
    <col min="2814" max="2814" width="65" style="9" bestFit="1" customWidth="1"/>
    <col min="2815" max="2815" width="12.5546875" style="9" bestFit="1" customWidth="1"/>
    <col min="2816" max="2816" width="11.5546875" style="9" bestFit="1" customWidth="1"/>
    <col min="2817" max="2817" width="12.33203125" style="9" bestFit="1" customWidth="1"/>
    <col min="2818" max="2819" width="11.5546875" style="9" bestFit="1" customWidth="1"/>
    <col min="2820" max="2820" width="2.44140625" style="9" customWidth="1"/>
    <col min="2821" max="3068" width="9.109375" style="9"/>
    <col min="3069" max="3069" width="56.33203125" style="9" customWidth="1"/>
    <col min="3070" max="3070" width="65" style="9" bestFit="1" customWidth="1"/>
    <col min="3071" max="3071" width="12.5546875" style="9" bestFit="1" customWidth="1"/>
    <col min="3072" max="3072" width="11.5546875" style="9" bestFit="1" customWidth="1"/>
    <col min="3073" max="3073" width="12.33203125" style="9" bestFit="1" customWidth="1"/>
    <col min="3074" max="3075" width="11.5546875" style="9" bestFit="1" customWidth="1"/>
    <col min="3076" max="3076" width="2.44140625" style="9" customWidth="1"/>
    <col min="3077" max="3324" width="9.109375" style="9"/>
    <col min="3325" max="3325" width="56.33203125" style="9" customWidth="1"/>
    <col min="3326" max="3326" width="65" style="9" bestFit="1" customWidth="1"/>
    <col min="3327" max="3327" width="12.5546875" style="9" bestFit="1" customWidth="1"/>
    <col min="3328" max="3328" width="11.5546875" style="9" bestFit="1" customWidth="1"/>
    <col min="3329" max="3329" width="12.33203125" style="9" bestFit="1" customWidth="1"/>
    <col min="3330" max="3331" width="11.5546875" style="9" bestFit="1" customWidth="1"/>
    <col min="3332" max="3332" width="2.44140625" style="9" customWidth="1"/>
    <col min="3333" max="3580" width="9.109375" style="9"/>
    <col min="3581" max="3581" width="56.33203125" style="9" customWidth="1"/>
    <col min="3582" max="3582" width="65" style="9" bestFit="1" customWidth="1"/>
    <col min="3583" max="3583" width="12.5546875" style="9" bestFit="1" customWidth="1"/>
    <col min="3584" max="3584" width="11.5546875" style="9" bestFit="1" customWidth="1"/>
    <col min="3585" max="3585" width="12.33203125" style="9" bestFit="1" customWidth="1"/>
    <col min="3586" max="3587" width="11.5546875" style="9" bestFit="1" customWidth="1"/>
    <col min="3588" max="3588" width="2.44140625" style="9" customWidth="1"/>
    <col min="3589" max="3836" width="9.109375" style="9"/>
    <col min="3837" max="3837" width="56.33203125" style="9" customWidth="1"/>
    <col min="3838" max="3838" width="65" style="9" bestFit="1" customWidth="1"/>
    <col min="3839" max="3839" width="12.5546875" style="9" bestFit="1" customWidth="1"/>
    <col min="3840" max="3840" width="11.5546875" style="9" bestFit="1" customWidth="1"/>
    <col min="3841" max="3841" width="12.33203125" style="9" bestFit="1" customWidth="1"/>
    <col min="3842" max="3843" width="11.5546875" style="9" bestFit="1" customWidth="1"/>
    <col min="3844" max="3844" width="2.44140625" style="9" customWidth="1"/>
    <col min="3845" max="4092" width="9.109375" style="9"/>
    <col min="4093" max="4093" width="56.33203125" style="9" customWidth="1"/>
    <col min="4094" max="4094" width="65" style="9" bestFit="1" customWidth="1"/>
    <col min="4095" max="4095" width="12.5546875" style="9" bestFit="1" customWidth="1"/>
    <col min="4096" max="4096" width="11.5546875" style="9" bestFit="1" customWidth="1"/>
    <col min="4097" max="4097" width="12.33203125" style="9" bestFit="1" customWidth="1"/>
    <col min="4098" max="4099" width="11.5546875" style="9" bestFit="1" customWidth="1"/>
    <col min="4100" max="4100" width="2.44140625" style="9" customWidth="1"/>
    <col min="4101" max="4348" width="9.109375" style="9"/>
    <col min="4349" max="4349" width="56.33203125" style="9" customWidth="1"/>
    <col min="4350" max="4350" width="65" style="9" bestFit="1" customWidth="1"/>
    <col min="4351" max="4351" width="12.5546875" style="9" bestFit="1" customWidth="1"/>
    <col min="4352" max="4352" width="11.5546875" style="9" bestFit="1" customWidth="1"/>
    <col min="4353" max="4353" width="12.33203125" style="9" bestFit="1" customWidth="1"/>
    <col min="4354" max="4355" width="11.5546875" style="9" bestFit="1" customWidth="1"/>
    <col min="4356" max="4356" width="2.44140625" style="9" customWidth="1"/>
    <col min="4357" max="4604" width="9.109375" style="9"/>
    <col min="4605" max="4605" width="56.33203125" style="9" customWidth="1"/>
    <col min="4606" max="4606" width="65" style="9" bestFit="1" customWidth="1"/>
    <col min="4607" max="4607" width="12.5546875" style="9" bestFit="1" customWidth="1"/>
    <col min="4608" max="4608" width="11.5546875" style="9" bestFit="1" customWidth="1"/>
    <col min="4609" max="4609" width="12.33203125" style="9" bestFit="1" customWidth="1"/>
    <col min="4610" max="4611" width="11.5546875" style="9" bestFit="1" customWidth="1"/>
    <col min="4612" max="4612" width="2.44140625" style="9" customWidth="1"/>
    <col min="4613" max="4860" width="9.109375" style="9"/>
    <col min="4861" max="4861" width="56.33203125" style="9" customWidth="1"/>
    <col min="4862" max="4862" width="65" style="9" bestFit="1" customWidth="1"/>
    <col min="4863" max="4863" width="12.5546875" style="9" bestFit="1" customWidth="1"/>
    <col min="4864" max="4864" width="11.5546875" style="9" bestFit="1" customWidth="1"/>
    <col min="4865" max="4865" width="12.33203125" style="9" bestFit="1" customWidth="1"/>
    <col min="4866" max="4867" width="11.5546875" style="9" bestFit="1" customWidth="1"/>
    <col min="4868" max="4868" width="2.44140625" style="9" customWidth="1"/>
    <col min="4869" max="5116" width="9.109375" style="9"/>
    <col min="5117" max="5117" width="56.33203125" style="9" customWidth="1"/>
    <col min="5118" max="5118" width="65" style="9" bestFit="1" customWidth="1"/>
    <col min="5119" max="5119" width="12.5546875" style="9" bestFit="1" customWidth="1"/>
    <col min="5120" max="5120" width="11.5546875" style="9" bestFit="1" customWidth="1"/>
    <col min="5121" max="5121" width="12.33203125" style="9" bestFit="1" customWidth="1"/>
    <col min="5122" max="5123" width="11.5546875" style="9" bestFit="1" customWidth="1"/>
    <col min="5124" max="5124" width="2.44140625" style="9" customWidth="1"/>
    <col min="5125" max="5372" width="9.109375" style="9"/>
    <col min="5373" max="5373" width="56.33203125" style="9" customWidth="1"/>
    <col min="5374" max="5374" width="65" style="9" bestFit="1" customWidth="1"/>
    <col min="5375" max="5375" width="12.5546875" style="9" bestFit="1" customWidth="1"/>
    <col min="5376" max="5376" width="11.5546875" style="9" bestFit="1" customWidth="1"/>
    <col min="5377" max="5377" width="12.33203125" style="9" bestFit="1" customWidth="1"/>
    <col min="5378" max="5379" width="11.5546875" style="9" bestFit="1" customWidth="1"/>
    <col min="5380" max="5380" width="2.44140625" style="9" customWidth="1"/>
    <col min="5381" max="5628" width="9.109375" style="9"/>
    <col min="5629" max="5629" width="56.33203125" style="9" customWidth="1"/>
    <col min="5630" max="5630" width="65" style="9" bestFit="1" customWidth="1"/>
    <col min="5631" max="5631" width="12.5546875" style="9" bestFit="1" customWidth="1"/>
    <col min="5632" max="5632" width="11.5546875" style="9" bestFit="1" customWidth="1"/>
    <col min="5633" max="5633" width="12.33203125" style="9" bestFit="1" customWidth="1"/>
    <col min="5634" max="5635" width="11.5546875" style="9" bestFit="1" customWidth="1"/>
    <col min="5636" max="5636" width="2.44140625" style="9" customWidth="1"/>
    <col min="5637" max="5884" width="9.109375" style="9"/>
    <col min="5885" max="5885" width="56.33203125" style="9" customWidth="1"/>
    <col min="5886" max="5886" width="65" style="9" bestFit="1" customWidth="1"/>
    <col min="5887" max="5887" width="12.5546875" style="9" bestFit="1" customWidth="1"/>
    <col min="5888" max="5888" width="11.5546875" style="9" bestFit="1" customWidth="1"/>
    <col min="5889" max="5889" width="12.33203125" style="9" bestFit="1" customWidth="1"/>
    <col min="5890" max="5891" width="11.5546875" style="9" bestFit="1" customWidth="1"/>
    <col min="5892" max="5892" width="2.44140625" style="9" customWidth="1"/>
    <col min="5893" max="6140" width="9.109375" style="9"/>
    <col min="6141" max="6141" width="56.33203125" style="9" customWidth="1"/>
    <col min="6142" max="6142" width="65" style="9" bestFit="1" customWidth="1"/>
    <col min="6143" max="6143" width="12.5546875" style="9" bestFit="1" customWidth="1"/>
    <col min="6144" max="6144" width="11.5546875" style="9" bestFit="1" customWidth="1"/>
    <col min="6145" max="6145" width="12.33203125" style="9" bestFit="1" customWidth="1"/>
    <col min="6146" max="6147" width="11.5546875" style="9" bestFit="1" customWidth="1"/>
    <col min="6148" max="6148" width="2.44140625" style="9" customWidth="1"/>
    <col min="6149" max="6396" width="9.109375" style="9"/>
    <col min="6397" max="6397" width="56.33203125" style="9" customWidth="1"/>
    <col min="6398" max="6398" width="65" style="9" bestFit="1" customWidth="1"/>
    <col min="6399" max="6399" width="12.5546875" style="9" bestFit="1" customWidth="1"/>
    <col min="6400" max="6400" width="11.5546875" style="9" bestFit="1" customWidth="1"/>
    <col min="6401" max="6401" width="12.33203125" style="9" bestFit="1" customWidth="1"/>
    <col min="6402" max="6403" width="11.5546875" style="9" bestFit="1" customWidth="1"/>
    <col min="6404" max="6404" width="2.44140625" style="9" customWidth="1"/>
    <col min="6405" max="6652" width="9.109375" style="9"/>
    <col min="6653" max="6653" width="56.33203125" style="9" customWidth="1"/>
    <col min="6654" max="6654" width="65" style="9" bestFit="1" customWidth="1"/>
    <col min="6655" max="6655" width="12.5546875" style="9" bestFit="1" customWidth="1"/>
    <col min="6656" max="6656" width="11.5546875" style="9" bestFit="1" customWidth="1"/>
    <col min="6657" max="6657" width="12.33203125" style="9" bestFit="1" customWidth="1"/>
    <col min="6658" max="6659" width="11.5546875" style="9" bestFit="1" customWidth="1"/>
    <col min="6660" max="6660" width="2.44140625" style="9" customWidth="1"/>
    <col min="6661" max="6908" width="9.109375" style="9"/>
    <col min="6909" max="6909" width="56.33203125" style="9" customWidth="1"/>
    <col min="6910" max="6910" width="65" style="9" bestFit="1" customWidth="1"/>
    <col min="6911" max="6911" width="12.5546875" style="9" bestFit="1" customWidth="1"/>
    <col min="6912" max="6912" width="11.5546875" style="9" bestFit="1" customWidth="1"/>
    <col min="6913" max="6913" width="12.33203125" style="9" bestFit="1" customWidth="1"/>
    <col min="6914" max="6915" width="11.5546875" style="9" bestFit="1" customWidth="1"/>
    <col min="6916" max="6916" width="2.44140625" style="9" customWidth="1"/>
    <col min="6917" max="7164" width="9.109375" style="9"/>
    <col min="7165" max="7165" width="56.33203125" style="9" customWidth="1"/>
    <col min="7166" max="7166" width="65" style="9" bestFit="1" customWidth="1"/>
    <col min="7167" max="7167" width="12.5546875" style="9" bestFit="1" customWidth="1"/>
    <col min="7168" max="7168" width="11.5546875" style="9" bestFit="1" customWidth="1"/>
    <col min="7169" max="7169" width="12.33203125" style="9" bestFit="1" customWidth="1"/>
    <col min="7170" max="7171" width="11.5546875" style="9" bestFit="1" customWidth="1"/>
    <col min="7172" max="7172" width="2.44140625" style="9" customWidth="1"/>
    <col min="7173" max="7420" width="9.109375" style="9"/>
    <col min="7421" max="7421" width="56.33203125" style="9" customWidth="1"/>
    <col min="7422" max="7422" width="65" style="9" bestFit="1" customWidth="1"/>
    <col min="7423" max="7423" width="12.5546875" style="9" bestFit="1" customWidth="1"/>
    <col min="7424" max="7424" width="11.5546875" style="9" bestFit="1" customWidth="1"/>
    <col min="7425" max="7425" width="12.33203125" style="9" bestFit="1" customWidth="1"/>
    <col min="7426" max="7427" width="11.5546875" style="9" bestFit="1" customWidth="1"/>
    <col min="7428" max="7428" width="2.44140625" style="9" customWidth="1"/>
    <col min="7429" max="7676" width="9.109375" style="9"/>
    <col min="7677" max="7677" width="56.33203125" style="9" customWidth="1"/>
    <col min="7678" max="7678" width="65" style="9" bestFit="1" customWidth="1"/>
    <col min="7679" max="7679" width="12.5546875" style="9" bestFit="1" customWidth="1"/>
    <col min="7680" max="7680" width="11.5546875" style="9" bestFit="1" customWidth="1"/>
    <col min="7681" max="7681" width="12.33203125" style="9" bestFit="1" customWidth="1"/>
    <col min="7682" max="7683" width="11.5546875" style="9" bestFit="1" customWidth="1"/>
    <col min="7684" max="7684" width="2.44140625" style="9" customWidth="1"/>
    <col min="7685" max="7932" width="9.109375" style="9"/>
    <col min="7933" max="7933" width="56.33203125" style="9" customWidth="1"/>
    <col min="7934" max="7934" width="65" style="9" bestFit="1" customWidth="1"/>
    <col min="7935" max="7935" width="12.5546875" style="9" bestFit="1" customWidth="1"/>
    <col min="7936" max="7936" width="11.5546875" style="9" bestFit="1" customWidth="1"/>
    <col min="7937" max="7937" width="12.33203125" style="9" bestFit="1" customWidth="1"/>
    <col min="7938" max="7939" width="11.5546875" style="9" bestFit="1" customWidth="1"/>
    <col min="7940" max="7940" width="2.44140625" style="9" customWidth="1"/>
    <col min="7941" max="8188" width="9.109375" style="9"/>
    <col min="8189" max="8189" width="56.33203125" style="9" customWidth="1"/>
    <col min="8190" max="8190" width="65" style="9" bestFit="1" customWidth="1"/>
    <col min="8191" max="8191" width="12.5546875" style="9" bestFit="1" customWidth="1"/>
    <col min="8192" max="8192" width="11.5546875" style="9" bestFit="1" customWidth="1"/>
    <col min="8193" max="8193" width="12.33203125" style="9" bestFit="1" customWidth="1"/>
    <col min="8194" max="8195" width="11.5546875" style="9" bestFit="1" customWidth="1"/>
    <col min="8196" max="8196" width="2.44140625" style="9" customWidth="1"/>
    <col min="8197" max="8444" width="9.109375" style="9"/>
    <col min="8445" max="8445" width="56.33203125" style="9" customWidth="1"/>
    <col min="8446" max="8446" width="65" style="9" bestFit="1" customWidth="1"/>
    <col min="8447" max="8447" width="12.5546875" style="9" bestFit="1" customWidth="1"/>
    <col min="8448" max="8448" width="11.5546875" style="9" bestFit="1" customWidth="1"/>
    <col min="8449" max="8449" width="12.33203125" style="9" bestFit="1" customWidth="1"/>
    <col min="8450" max="8451" width="11.5546875" style="9" bestFit="1" customWidth="1"/>
    <col min="8452" max="8452" width="2.44140625" style="9" customWidth="1"/>
    <col min="8453" max="8700" width="9.109375" style="9"/>
    <col min="8701" max="8701" width="56.33203125" style="9" customWidth="1"/>
    <col min="8702" max="8702" width="65" style="9" bestFit="1" customWidth="1"/>
    <col min="8703" max="8703" width="12.5546875" style="9" bestFit="1" customWidth="1"/>
    <col min="8704" max="8704" width="11.5546875" style="9" bestFit="1" customWidth="1"/>
    <col min="8705" max="8705" width="12.33203125" style="9" bestFit="1" customWidth="1"/>
    <col min="8706" max="8707" width="11.5546875" style="9" bestFit="1" customWidth="1"/>
    <col min="8708" max="8708" width="2.44140625" style="9" customWidth="1"/>
    <col min="8709" max="8956" width="9.109375" style="9"/>
    <col min="8957" max="8957" width="56.33203125" style="9" customWidth="1"/>
    <col min="8958" max="8958" width="65" style="9" bestFit="1" customWidth="1"/>
    <col min="8959" max="8959" width="12.5546875" style="9" bestFit="1" customWidth="1"/>
    <col min="8960" max="8960" width="11.5546875" style="9" bestFit="1" customWidth="1"/>
    <col min="8961" max="8961" width="12.33203125" style="9" bestFit="1" customWidth="1"/>
    <col min="8962" max="8963" width="11.5546875" style="9" bestFit="1" customWidth="1"/>
    <col min="8964" max="8964" width="2.44140625" style="9" customWidth="1"/>
    <col min="8965" max="9212" width="9.109375" style="9"/>
    <col min="9213" max="9213" width="56.33203125" style="9" customWidth="1"/>
    <col min="9214" max="9214" width="65" style="9" bestFit="1" customWidth="1"/>
    <col min="9215" max="9215" width="12.5546875" style="9" bestFit="1" customWidth="1"/>
    <col min="9216" max="9216" width="11.5546875" style="9" bestFit="1" customWidth="1"/>
    <col min="9217" max="9217" width="12.33203125" style="9" bestFit="1" customWidth="1"/>
    <col min="9218" max="9219" width="11.5546875" style="9" bestFit="1" customWidth="1"/>
    <col min="9220" max="9220" width="2.44140625" style="9" customWidth="1"/>
    <col min="9221" max="9468" width="9.109375" style="9"/>
    <col min="9469" max="9469" width="56.33203125" style="9" customWidth="1"/>
    <col min="9470" max="9470" width="65" style="9" bestFit="1" customWidth="1"/>
    <col min="9471" max="9471" width="12.5546875" style="9" bestFit="1" customWidth="1"/>
    <col min="9472" max="9472" width="11.5546875" style="9" bestFit="1" customWidth="1"/>
    <col min="9473" max="9473" width="12.33203125" style="9" bestFit="1" customWidth="1"/>
    <col min="9474" max="9475" width="11.5546875" style="9" bestFit="1" customWidth="1"/>
    <col min="9476" max="9476" width="2.44140625" style="9" customWidth="1"/>
    <col min="9477" max="9724" width="9.109375" style="9"/>
    <col min="9725" max="9725" width="56.33203125" style="9" customWidth="1"/>
    <col min="9726" max="9726" width="65" style="9" bestFit="1" customWidth="1"/>
    <col min="9727" max="9727" width="12.5546875" style="9" bestFit="1" customWidth="1"/>
    <col min="9728" max="9728" width="11.5546875" style="9" bestFit="1" customWidth="1"/>
    <col min="9729" max="9729" width="12.33203125" style="9" bestFit="1" customWidth="1"/>
    <col min="9730" max="9731" width="11.5546875" style="9" bestFit="1" customWidth="1"/>
    <col min="9732" max="9732" width="2.44140625" style="9" customWidth="1"/>
    <col min="9733" max="9980" width="9.109375" style="9"/>
    <col min="9981" max="9981" width="56.33203125" style="9" customWidth="1"/>
    <col min="9982" max="9982" width="65" style="9" bestFit="1" customWidth="1"/>
    <col min="9983" max="9983" width="12.5546875" style="9" bestFit="1" customWidth="1"/>
    <col min="9984" max="9984" width="11.5546875" style="9" bestFit="1" customWidth="1"/>
    <col min="9985" max="9985" width="12.33203125" style="9" bestFit="1" customWidth="1"/>
    <col min="9986" max="9987" width="11.5546875" style="9" bestFit="1" customWidth="1"/>
    <col min="9988" max="9988" width="2.44140625" style="9" customWidth="1"/>
    <col min="9989" max="10236" width="9.109375" style="9"/>
    <col min="10237" max="10237" width="56.33203125" style="9" customWidth="1"/>
    <col min="10238" max="10238" width="65" style="9" bestFit="1" customWidth="1"/>
    <col min="10239" max="10239" width="12.5546875" style="9" bestFit="1" customWidth="1"/>
    <col min="10240" max="10240" width="11.5546875" style="9" bestFit="1" customWidth="1"/>
    <col min="10241" max="10241" width="12.33203125" style="9" bestFit="1" customWidth="1"/>
    <col min="10242" max="10243" width="11.5546875" style="9" bestFit="1" customWidth="1"/>
    <col min="10244" max="10244" width="2.44140625" style="9" customWidth="1"/>
    <col min="10245" max="10492" width="9.109375" style="9"/>
    <col min="10493" max="10493" width="56.33203125" style="9" customWidth="1"/>
    <col min="10494" max="10494" width="65" style="9" bestFit="1" customWidth="1"/>
    <col min="10495" max="10495" width="12.5546875" style="9" bestFit="1" customWidth="1"/>
    <col min="10496" max="10496" width="11.5546875" style="9" bestFit="1" customWidth="1"/>
    <col min="10497" max="10497" width="12.33203125" style="9" bestFit="1" customWidth="1"/>
    <col min="10498" max="10499" width="11.5546875" style="9" bestFit="1" customWidth="1"/>
    <col min="10500" max="10500" width="2.44140625" style="9" customWidth="1"/>
    <col min="10501" max="10748" width="9.109375" style="9"/>
    <col min="10749" max="10749" width="56.33203125" style="9" customWidth="1"/>
    <col min="10750" max="10750" width="65" style="9" bestFit="1" customWidth="1"/>
    <col min="10751" max="10751" width="12.5546875" style="9" bestFit="1" customWidth="1"/>
    <col min="10752" max="10752" width="11.5546875" style="9" bestFit="1" customWidth="1"/>
    <col min="10753" max="10753" width="12.33203125" style="9" bestFit="1" customWidth="1"/>
    <col min="10754" max="10755" width="11.5546875" style="9" bestFit="1" customWidth="1"/>
    <col min="10756" max="10756" width="2.44140625" style="9" customWidth="1"/>
    <col min="10757" max="11004" width="9.109375" style="9"/>
    <col min="11005" max="11005" width="56.33203125" style="9" customWidth="1"/>
    <col min="11006" max="11006" width="65" style="9" bestFit="1" customWidth="1"/>
    <col min="11007" max="11007" width="12.5546875" style="9" bestFit="1" customWidth="1"/>
    <col min="11008" max="11008" width="11.5546875" style="9" bestFit="1" customWidth="1"/>
    <col min="11009" max="11009" width="12.33203125" style="9" bestFit="1" customWidth="1"/>
    <col min="11010" max="11011" width="11.5546875" style="9" bestFit="1" customWidth="1"/>
    <col min="11012" max="11012" width="2.44140625" style="9" customWidth="1"/>
    <col min="11013" max="11260" width="9.109375" style="9"/>
    <col min="11261" max="11261" width="56.33203125" style="9" customWidth="1"/>
    <col min="11262" max="11262" width="65" style="9" bestFit="1" customWidth="1"/>
    <col min="11263" max="11263" width="12.5546875" style="9" bestFit="1" customWidth="1"/>
    <col min="11264" max="11264" width="11.5546875" style="9" bestFit="1" customWidth="1"/>
    <col min="11265" max="11265" width="12.33203125" style="9" bestFit="1" customWidth="1"/>
    <col min="11266" max="11267" width="11.5546875" style="9" bestFit="1" customWidth="1"/>
    <col min="11268" max="11268" width="2.44140625" style="9" customWidth="1"/>
    <col min="11269" max="11516" width="9.109375" style="9"/>
    <col min="11517" max="11517" width="56.33203125" style="9" customWidth="1"/>
    <col min="11518" max="11518" width="65" style="9" bestFit="1" customWidth="1"/>
    <col min="11519" max="11519" width="12.5546875" style="9" bestFit="1" customWidth="1"/>
    <col min="11520" max="11520" width="11.5546875" style="9" bestFit="1" customWidth="1"/>
    <col min="11521" max="11521" width="12.33203125" style="9" bestFit="1" customWidth="1"/>
    <col min="11522" max="11523" width="11.5546875" style="9" bestFit="1" customWidth="1"/>
    <col min="11524" max="11524" width="2.44140625" style="9" customWidth="1"/>
    <col min="11525" max="11772" width="9.109375" style="9"/>
    <col min="11773" max="11773" width="56.33203125" style="9" customWidth="1"/>
    <col min="11774" max="11774" width="65" style="9" bestFit="1" customWidth="1"/>
    <col min="11775" max="11775" width="12.5546875" style="9" bestFit="1" customWidth="1"/>
    <col min="11776" max="11776" width="11.5546875" style="9" bestFit="1" customWidth="1"/>
    <col min="11777" max="11777" width="12.33203125" style="9" bestFit="1" customWidth="1"/>
    <col min="11778" max="11779" width="11.5546875" style="9" bestFit="1" customWidth="1"/>
    <col min="11780" max="11780" width="2.44140625" style="9" customWidth="1"/>
    <col min="11781" max="12028" width="9.109375" style="9"/>
    <col min="12029" max="12029" width="56.33203125" style="9" customWidth="1"/>
    <col min="12030" max="12030" width="65" style="9" bestFit="1" customWidth="1"/>
    <col min="12031" max="12031" width="12.5546875" style="9" bestFit="1" customWidth="1"/>
    <col min="12032" max="12032" width="11.5546875" style="9" bestFit="1" customWidth="1"/>
    <col min="12033" max="12033" width="12.33203125" style="9" bestFit="1" customWidth="1"/>
    <col min="12034" max="12035" width="11.5546875" style="9" bestFit="1" customWidth="1"/>
    <col min="12036" max="12036" width="2.44140625" style="9" customWidth="1"/>
    <col min="12037" max="12284" width="9.109375" style="9"/>
    <col min="12285" max="12285" width="56.33203125" style="9" customWidth="1"/>
    <col min="12286" max="12286" width="65" style="9" bestFit="1" customWidth="1"/>
    <col min="12287" max="12287" width="12.5546875" style="9" bestFit="1" customWidth="1"/>
    <col min="12288" max="12288" width="11.5546875" style="9" bestFit="1" customWidth="1"/>
    <col min="12289" max="12289" width="12.33203125" style="9" bestFit="1" customWidth="1"/>
    <col min="12290" max="12291" width="11.5546875" style="9" bestFit="1" customWidth="1"/>
    <col min="12292" max="12292" width="2.44140625" style="9" customWidth="1"/>
    <col min="12293" max="12540" width="9.109375" style="9"/>
    <col min="12541" max="12541" width="56.33203125" style="9" customWidth="1"/>
    <col min="12542" max="12542" width="65" style="9" bestFit="1" customWidth="1"/>
    <col min="12543" max="12543" width="12.5546875" style="9" bestFit="1" customWidth="1"/>
    <col min="12544" max="12544" width="11.5546875" style="9" bestFit="1" customWidth="1"/>
    <col min="12545" max="12545" width="12.33203125" style="9" bestFit="1" customWidth="1"/>
    <col min="12546" max="12547" width="11.5546875" style="9" bestFit="1" customWidth="1"/>
    <col min="12548" max="12548" width="2.44140625" style="9" customWidth="1"/>
    <col min="12549" max="12796" width="9.109375" style="9"/>
    <col min="12797" max="12797" width="56.33203125" style="9" customWidth="1"/>
    <col min="12798" max="12798" width="65" style="9" bestFit="1" customWidth="1"/>
    <col min="12799" max="12799" width="12.5546875" style="9" bestFit="1" customWidth="1"/>
    <col min="12800" max="12800" width="11.5546875" style="9" bestFit="1" customWidth="1"/>
    <col min="12801" max="12801" width="12.33203125" style="9" bestFit="1" customWidth="1"/>
    <col min="12802" max="12803" width="11.5546875" style="9" bestFit="1" customWidth="1"/>
    <col min="12804" max="12804" width="2.44140625" style="9" customWidth="1"/>
    <col min="12805" max="13052" width="9.109375" style="9"/>
    <col min="13053" max="13053" width="56.33203125" style="9" customWidth="1"/>
    <col min="13054" max="13054" width="65" style="9" bestFit="1" customWidth="1"/>
    <col min="13055" max="13055" width="12.5546875" style="9" bestFit="1" customWidth="1"/>
    <col min="13056" max="13056" width="11.5546875" style="9" bestFit="1" customWidth="1"/>
    <col min="13057" max="13057" width="12.33203125" style="9" bestFit="1" customWidth="1"/>
    <col min="13058" max="13059" width="11.5546875" style="9" bestFit="1" customWidth="1"/>
    <col min="13060" max="13060" width="2.44140625" style="9" customWidth="1"/>
    <col min="13061" max="13308" width="9.109375" style="9"/>
    <col min="13309" max="13309" width="56.33203125" style="9" customWidth="1"/>
    <col min="13310" max="13310" width="65" style="9" bestFit="1" customWidth="1"/>
    <col min="13311" max="13311" width="12.5546875" style="9" bestFit="1" customWidth="1"/>
    <col min="13312" max="13312" width="11.5546875" style="9" bestFit="1" customWidth="1"/>
    <col min="13313" max="13313" width="12.33203125" style="9" bestFit="1" customWidth="1"/>
    <col min="13314" max="13315" width="11.5546875" style="9" bestFit="1" customWidth="1"/>
    <col min="13316" max="13316" width="2.44140625" style="9" customWidth="1"/>
    <col min="13317" max="13564" width="9.109375" style="9"/>
    <col min="13565" max="13565" width="56.33203125" style="9" customWidth="1"/>
    <col min="13566" max="13566" width="65" style="9" bestFit="1" customWidth="1"/>
    <col min="13567" max="13567" width="12.5546875" style="9" bestFit="1" customWidth="1"/>
    <col min="13568" max="13568" width="11.5546875" style="9" bestFit="1" customWidth="1"/>
    <col min="13569" max="13569" width="12.33203125" style="9" bestFit="1" customWidth="1"/>
    <col min="13570" max="13571" width="11.5546875" style="9" bestFit="1" customWidth="1"/>
    <col min="13572" max="13572" width="2.44140625" style="9" customWidth="1"/>
    <col min="13573" max="13820" width="9.109375" style="9"/>
    <col min="13821" max="13821" width="56.33203125" style="9" customWidth="1"/>
    <col min="13822" max="13822" width="65" style="9" bestFit="1" customWidth="1"/>
    <col min="13823" max="13823" width="12.5546875" style="9" bestFit="1" customWidth="1"/>
    <col min="13824" max="13824" width="11.5546875" style="9" bestFit="1" customWidth="1"/>
    <col min="13825" max="13825" width="12.33203125" style="9" bestFit="1" customWidth="1"/>
    <col min="13826" max="13827" width="11.5546875" style="9" bestFit="1" customWidth="1"/>
    <col min="13828" max="13828" width="2.44140625" style="9" customWidth="1"/>
    <col min="13829" max="14076" width="9.109375" style="9"/>
    <col min="14077" max="14077" width="56.33203125" style="9" customWidth="1"/>
    <col min="14078" max="14078" width="65" style="9" bestFit="1" customWidth="1"/>
    <col min="14079" max="14079" width="12.5546875" style="9" bestFit="1" customWidth="1"/>
    <col min="14080" max="14080" width="11.5546875" style="9" bestFit="1" customWidth="1"/>
    <col min="14081" max="14081" width="12.33203125" style="9" bestFit="1" customWidth="1"/>
    <col min="14082" max="14083" width="11.5546875" style="9" bestFit="1" customWidth="1"/>
    <col min="14084" max="14084" width="2.44140625" style="9" customWidth="1"/>
    <col min="14085" max="14332" width="9.109375" style="9"/>
    <col min="14333" max="14333" width="56.33203125" style="9" customWidth="1"/>
    <col min="14334" max="14334" width="65" style="9" bestFit="1" customWidth="1"/>
    <col min="14335" max="14335" width="12.5546875" style="9" bestFit="1" customWidth="1"/>
    <col min="14336" max="14336" width="11.5546875" style="9" bestFit="1" customWidth="1"/>
    <col min="14337" max="14337" width="12.33203125" style="9" bestFit="1" customWidth="1"/>
    <col min="14338" max="14339" width="11.5546875" style="9" bestFit="1" customWidth="1"/>
    <col min="14340" max="14340" width="2.44140625" style="9" customWidth="1"/>
    <col min="14341" max="14588" width="9.109375" style="9"/>
    <col min="14589" max="14589" width="56.33203125" style="9" customWidth="1"/>
    <col min="14590" max="14590" width="65" style="9" bestFit="1" customWidth="1"/>
    <col min="14591" max="14591" width="12.5546875" style="9" bestFit="1" customWidth="1"/>
    <col min="14592" max="14592" width="11.5546875" style="9" bestFit="1" customWidth="1"/>
    <col min="14593" max="14593" width="12.33203125" style="9" bestFit="1" customWidth="1"/>
    <col min="14594" max="14595" width="11.5546875" style="9" bestFit="1" customWidth="1"/>
    <col min="14596" max="14596" width="2.44140625" style="9" customWidth="1"/>
    <col min="14597" max="14844" width="9.109375" style="9"/>
    <col min="14845" max="14845" width="56.33203125" style="9" customWidth="1"/>
    <col min="14846" max="14846" width="65" style="9" bestFit="1" customWidth="1"/>
    <col min="14847" max="14847" width="12.5546875" style="9" bestFit="1" customWidth="1"/>
    <col min="14848" max="14848" width="11.5546875" style="9" bestFit="1" customWidth="1"/>
    <col min="14849" max="14849" width="12.33203125" style="9" bestFit="1" customWidth="1"/>
    <col min="14850" max="14851" width="11.5546875" style="9" bestFit="1" customWidth="1"/>
    <col min="14852" max="14852" width="2.44140625" style="9" customWidth="1"/>
    <col min="14853" max="15100" width="9.109375" style="9"/>
    <col min="15101" max="15101" width="56.33203125" style="9" customWidth="1"/>
    <col min="15102" max="15102" width="65" style="9" bestFit="1" customWidth="1"/>
    <col min="15103" max="15103" width="12.5546875" style="9" bestFit="1" customWidth="1"/>
    <col min="15104" max="15104" width="11.5546875" style="9" bestFit="1" customWidth="1"/>
    <col min="15105" max="15105" width="12.33203125" style="9" bestFit="1" customWidth="1"/>
    <col min="15106" max="15107" width="11.5546875" style="9" bestFit="1" customWidth="1"/>
    <col min="15108" max="15108" width="2.44140625" style="9" customWidth="1"/>
    <col min="15109" max="15356" width="9.109375" style="9"/>
    <col min="15357" max="15357" width="56.33203125" style="9" customWidth="1"/>
    <col min="15358" max="15358" width="65" style="9" bestFit="1" customWidth="1"/>
    <col min="15359" max="15359" width="12.5546875" style="9" bestFit="1" customWidth="1"/>
    <col min="15360" max="15360" width="11.5546875" style="9" bestFit="1" customWidth="1"/>
    <col min="15361" max="15361" width="12.33203125" style="9" bestFit="1" customWidth="1"/>
    <col min="15362" max="15363" width="11.5546875" style="9" bestFit="1" customWidth="1"/>
    <col min="15364" max="15364" width="2.44140625" style="9" customWidth="1"/>
    <col min="15365" max="15612" width="9.109375" style="9"/>
    <col min="15613" max="15613" width="56.33203125" style="9" customWidth="1"/>
    <col min="15614" max="15614" width="65" style="9" bestFit="1" customWidth="1"/>
    <col min="15615" max="15615" width="12.5546875" style="9" bestFit="1" customWidth="1"/>
    <col min="15616" max="15616" width="11.5546875" style="9" bestFit="1" customWidth="1"/>
    <col min="15617" max="15617" width="12.33203125" style="9" bestFit="1" customWidth="1"/>
    <col min="15618" max="15619" width="11.5546875" style="9" bestFit="1" customWidth="1"/>
    <col min="15620" max="15620" width="2.44140625" style="9" customWidth="1"/>
    <col min="15621" max="15868" width="9.109375" style="9"/>
    <col min="15869" max="15869" width="56.33203125" style="9" customWidth="1"/>
    <col min="15870" max="15870" width="65" style="9" bestFit="1" customWidth="1"/>
    <col min="15871" max="15871" width="12.5546875" style="9" bestFit="1" customWidth="1"/>
    <col min="15872" max="15872" width="11.5546875" style="9" bestFit="1" customWidth="1"/>
    <col min="15873" max="15873" width="12.33203125" style="9" bestFit="1" customWidth="1"/>
    <col min="15874" max="15875" width="11.5546875" style="9" bestFit="1" customWidth="1"/>
    <col min="15876" max="15876" width="2.44140625" style="9" customWidth="1"/>
    <col min="15877" max="16124" width="9.109375" style="9"/>
    <col min="16125" max="16125" width="56.33203125" style="9" customWidth="1"/>
    <col min="16126" max="16126" width="65" style="9" bestFit="1" customWidth="1"/>
    <col min="16127" max="16127" width="12.5546875" style="9" bestFit="1" customWidth="1"/>
    <col min="16128" max="16128" width="11.5546875" style="9" bestFit="1" customWidth="1"/>
    <col min="16129" max="16129" width="12.33203125" style="9" bestFit="1" customWidth="1"/>
    <col min="16130" max="16131" width="11.5546875" style="9" bestFit="1" customWidth="1"/>
    <col min="16132" max="16132" width="2.44140625" style="9" customWidth="1"/>
    <col min="16133" max="16379" width="9.109375" style="9"/>
    <col min="16380" max="16384" width="9.109375" style="9" customWidth="1"/>
  </cols>
  <sheetData>
    <row r="1" spans="2:20" hidden="1" x14ac:dyDescent="0.3"/>
    <row r="2" spans="2:20" hidden="1" x14ac:dyDescent="0.3"/>
    <row r="3" spans="2:20" ht="15" thickBot="1" x14ac:dyDescent="0.35">
      <c r="F3" s="9" t="s">
        <v>156</v>
      </c>
    </row>
    <row r="4" spans="2:20" ht="15" thickBot="1" x14ac:dyDescent="0.35">
      <c r="B4" s="57" t="s">
        <v>63</v>
      </c>
      <c r="C4" s="58">
        <v>2016</v>
      </c>
      <c r="D4" s="58">
        <f t="shared" ref="D4" si="0">C4+1</f>
        <v>2017</v>
      </c>
      <c r="E4" s="58">
        <f t="shared" ref="E4" si="1">D4+1</f>
        <v>2018</v>
      </c>
      <c r="F4" s="58">
        <f t="shared" ref="F4" si="2">E4+1</f>
        <v>2019</v>
      </c>
      <c r="G4" s="58">
        <f t="shared" ref="G4" si="3">F4+1</f>
        <v>2020</v>
      </c>
      <c r="Q4" s="55"/>
      <c r="R4" s="55"/>
      <c r="S4" s="55"/>
    </row>
    <row r="5" spans="2:20" ht="9" customHeight="1" thickBot="1" x14ac:dyDescent="0.35">
      <c r="Q5" s="55"/>
      <c r="R5" s="55"/>
      <c r="S5" s="55"/>
    </row>
    <row r="6" spans="2:20" ht="15" thickBot="1" x14ac:dyDescent="0.35">
      <c r="B6" s="12" t="s">
        <v>173</v>
      </c>
      <c r="C6" s="11">
        <f>'2.Comprehensive income'!C16</f>
        <v>3556</v>
      </c>
      <c r="D6" s="11">
        <f>'2.Comprehensive income'!D16</f>
        <v>-341</v>
      </c>
      <c r="E6" s="11">
        <f>'2.Comprehensive income'!E16</f>
        <v>-4305</v>
      </c>
      <c r="F6" s="11">
        <f>'2.Comprehensive income'!F16</f>
        <v>-2343</v>
      </c>
      <c r="G6" s="59">
        <f>'2.Comprehensive income'!G16</f>
        <v>184</v>
      </c>
      <c r="Q6" s="55"/>
      <c r="R6" s="55"/>
      <c r="S6" s="55"/>
      <c r="T6" s="56"/>
    </row>
    <row r="7" spans="2:20" x14ac:dyDescent="0.3">
      <c r="B7" s="13" t="s">
        <v>174</v>
      </c>
      <c r="C7" s="4">
        <v>3060</v>
      </c>
      <c r="D7" s="4">
        <v>2607</v>
      </c>
      <c r="E7" s="4">
        <v>2925</v>
      </c>
      <c r="F7" s="4">
        <v>2702</v>
      </c>
      <c r="G7" s="60">
        <v>3418</v>
      </c>
      <c r="Q7" s="55"/>
      <c r="R7" s="55"/>
      <c r="S7" s="55"/>
      <c r="T7" s="56"/>
    </row>
    <row r="8" spans="2:20" x14ac:dyDescent="0.3">
      <c r="B8" s="13" t="s">
        <v>175</v>
      </c>
      <c r="C8" s="4">
        <v>-115</v>
      </c>
      <c r="D8" s="4">
        <v>436</v>
      </c>
      <c r="E8" s="4">
        <v>-52</v>
      </c>
      <c r="F8" s="4">
        <v>336</v>
      </c>
      <c r="G8" s="60">
        <v>42</v>
      </c>
      <c r="Q8" s="55"/>
      <c r="R8" s="55"/>
      <c r="S8" s="55"/>
      <c r="T8" s="56"/>
    </row>
    <row r="9" spans="2:20" x14ac:dyDescent="0.3">
      <c r="B9" s="13" t="s">
        <v>176</v>
      </c>
      <c r="C9" s="4">
        <v>0</v>
      </c>
      <c r="D9" s="4">
        <v>-2386</v>
      </c>
      <c r="E9" s="4">
        <v>-2710</v>
      </c>
      <c r="F9" s="4"/>
      <c r="G9" s="60">
        <v>70</v>
      </c>
      <c r="Q9" s="55"/>
      <c r="R9" s="55"/>
      <c r="S9" s="55"/>
      <c r="T9" s="56"/>
    </row>
    <row r="10" spans="2:20" x14ac:dyDescent="0.3">
      <c r="B10" s="13" t="s">
        <v>259</v>
      </c>
      <c r="C10" s="4"/>
      <c r="D10" s="4"/>
      <c r="E10" s="4"/>
      <c r="F10" s="4">
        <v>-186</v>
      </c>
      <c r="G10" s="60">
        <v>-229</v>
      </c>
      <c r="Q10" s="55"/>
      <c r="R10" s="55"/>
      <c r="S10" s="55"/>
      <c r="T10" s="56"/>
    </row>
    <row r="11" spans="2:20" x14ac:dyDescent="0.3">
      <c r="B11" s="13" t="s">
        <v>177</v>
      </c>
      <c r="C11" s="4">
        <v>0</v>
      </c>
      <c r="D11" s="4">
        <v>0</v>
      </c>
      <c r="E11" s="4">
        <v>0</v>
      </c>
      <c r="F11" s="4"/>
      <c r="G11" s="60"/>
      <c r="Q11" s="55"/>
      <c r="R11" s="55"/>
      <c r="S11" s="55"/>
      <c r="T11" s="56"/>
    </row>
    <row r="12" spans="2:20" x14ac:dyDescent="0.3">
      <c r="B12" s="13" t="s">
        <v>260</v>
      </c>
      <c r="C12" s="4"/>
      <c r="D12" s="4"/>
      <c r="E12" s="4"/>
      <c r="F12" s="4">
        <v>-6</v>
      </c>
      <c r="G12" s="60">
        <v>-90</v>
      </c>
      <c r="Q12" s="55"/>
      <c r="R12" s="55"/>
      <c r="S12" s="55"/>
      <c r="T12" s="56"/>
    </row>
    <row r="13" spans="2:20" x14ac:dyDescent="0.3">
      <c r="B13" s="13" t="s">
        <v>178</v>
      </c>
      <c r="C13" s="4">
        <v>483</v>
      </c>
      <c r="D13" s="4">
        <v>349</v>
      </c>
      <c r="E13" s="4">
        <v>0</v>
      </c>
      <c r="F13" s="4"/>
      <c r="G13" s="60">
        <v>286</v>
      </c>
      <c r="Q13" s="55"/>
      <c r="R13" s="55"/>
      <c r="S13" s="55"/>
      <c r="T13" s="56"/>
    </row>
    <row r="14" spans="2:20" x14ac:dyDescent="0.3">
      <c r="B14" s="13" t="s">
        <v>179</v>
      </c>
      <c r="C14" s="4">
        <v>248</v>
      </c>
      <c r="D14" s="4">
        <v>-343</v>
      </c>
      <c r="E14" s="4">
        <v>32</v>
      </c>
      <c r="F14" s="4">
        <v>112</v>
      </c>
      <c r="G14" s="60">
        <v>29</v>
      </c>
      <c r="Q14" s="55"/>
      <c r="R14" s="55"/>
      <c r="S14" s="55"/>
      <c r="T14" s="56"/>
    </row>
    <row r="15" spans="2:20" x14ac:dyDescent="0.3">
      <c r="B15" s="13" t="s">
        <v>180</v>
      </c>
      <c r="C15" s="4">
        <v>0</v>
      </c>
      <c r="D15" s="4">
        <v>166</v>
      </c>
      <c r="E15" s="4">
        <v>207</v>
      </c>
      <c r="F15" s="4">
        <v>4</v>
      </c>
      <c r="G15" s="60">
        <v>22</v>
      </c>
      <c r="Q15" s="55"/>
      <c r="R15" s="55"/>
      <c r="S15" s="55"/>
      <c r="T15" s="56"/>
    </row>
    <row r="16" spans="2:20" x14ac:dyDescent="0.3">
      <c r="B16" s="13" t="s">
        <v>181</v>
      </c>
      <c r="C16" s="4">
        <v>0</v>
      </c>
      <c r="D16" s="4"/>
      <c r="E16" s="4">
        <v>0</v>
      </c>
      <c r="F16" s="4"/>
      <c r="G16" s="60"/>
      <c r="Q16" s="55"/>
      <c r="R16" s="55"/>
      <c r="S16" s="55"/>
      <c r="T16" s="56"/>
    </row>
    <row r="17" spans="2:20" x14ac:dyDescent="0.3">
      <c r="B17" s="13" t="s">
        <v>182</v>
      </c>
      <c r="C17" s="4">
        <v>0</v>
      </c>
      <c r="D17" s="4">
        <v>1186</v>
      </c>
      <c r="E17" s="4">
        <v>0</v>
      </c>
      <c r="F17" s="4"/>
      <c r="G17" s="60"/>
      <c r="Q17" s="55"/>
      <c r="R17" s="55"/>
      <c r="S17" s="55"/>
      <c r="T17" s="56"/>
    </row>
    <row r="18" spans="2:20" x14ac:dyDescent="0.3">
      <c r="B18" s="13" t="s">
        <v>183</v>
      </c>
      <c r="C18" s="4">
        <v>14851</v>
      </c>
      <c r="D18" s="4">
        <v>16226</v>
      </c>
      <c r="E18" s="4">
        <v>16356</v>
      </c>
      <c r="F18" s="4">
        <v>16304</v>
      </c>
      <c r="G18" s="60">
        <v>15277</v>
      </c>
      <c r="Q18" s="55"/>
      <c r="R18" s="55"/>
      <c r="S18" s="55"/>
      <c r="T18" s="56"/>
    </row>
    <row r="19" spans="2:20" x14ac:dyDescent="0.3">
      <c r="B19" s="13" t="s">
        <v>184</v>
      </c>
      <c r="C19" s="4">
        <v>437</v>
      </c>
      <c r="D19" s="4">
        <v>-28</v>
      </c>
      <c r="E19" s="4">
        <v>10</v>
      </c>
      <c r="F19" s="4">
        <v>-206</v>
      </c>
      <c r="G19" s="60">
        <v>1310</v>
      </c>
      <c r="Q19" s="55"/>
      <c r="R19" s="55"/>
      <c r="S19" s="55"/>
      <c r="T19" s="56"/>
    </row>
    <row r="20" spans="2:20" x14ac:dyDescent="0.3">
      <c r="B20" s="9" t="s">
        <v>185</v>
      </c>
      <c r="C20" s="4">
        <v>2329</v>
      </c>
      <c r="D20" s="4">
        <v>-26</v>
      </c>
      <c r="E20" s="4">
        <v>-5</v>
      </c>
      <c r="F20" s="4"/>
      <c r="G20" s="60"/>
      <c r="Q20" s="55"/>
      <c r="R20" s="55"/>
      <c r="S20" s="55"/>
      <c r="T20" s="56"/>
    </row>
    <row r="21" spans="2:20" x14ac:dyDescent="0.3">
      <c r="B21" s="9" t="s">
        <v>261</v>
      </c>
      <c r="C21" s="4"/>
      <c r="D21" s="4"/>
      <c r="E21" s="4"/>
      <c r="F21" s="4">
        <v>96</v>
      </c>
      <c r="G21" s="60">
        <v>0</v>
      </c>
      <c r="Q21" s="55"/>
      <c r="R21" s="55"/>
      <c r="S21" s="55"/>
      <c r="T21" s="56"/>
    </row>
    <row r="22" spans="2:20" x14ac:dyDescent="0.3">
      <c r="B22" s="9" t="s">
        <v>186</v>
      </c>
      <c r="C22" s="4">
        <v>-759</v>
      </c>
      <c r="D22" s="4">
        <v>-1490</v>
      </c>
      <c r="E22" s="4">
        <v>-308</v>
      </c>
      <c r="F22" s="4">
        <v>430</v>
      </c>
      <c r="G22" s="60">
        <v>279</v>
      </c>
      <c r="Q22" s="55"/>
      <c r="R22" s="55"/>
      <c r="S22" s="55"/>
      <c r="T22" s="56"/>
    </row>
    <row r="23" spans="2:20" x14ac:dyDescent="0.3">
      <c r="B23" s="9" t="s">
        <v>187</v>
      </c>
      <c r="C23" s="4">
        <v>0</v>
      </c>
      <c r="D23" s="4">
        <v>0</v>
      </c>
      <c r="E23" s="4">
        <v>757</v>
      </c>
      <c r="F23" s="4">
        <v>-71</v>
      </c>
      <c r="G23" s="60">
        <v>0</v>
      </c>
      <c r="Q23" s="55"/>
      <c r="R23" s="55"/>
      <c r="S23" s="55"/>
      <c r="T23" s="56"/>
    </row>
    <row r="24" spans="2:20" x14ac:dyDescent="0.3">
      <c r="B24" s="9" t="s">
        <v>188</v>
      </c>
      <c r="C24" s="4">
        <v>0</v>
      </c>
      <c r="D24" s="4">
        <v>0</v>
      </c>
      <c r="E24" s="4"/>
      <c r="F24" s="4"/>
      <c r="G24" s="60"/>
      <c r="Q24" s="55"/>
      <c r="R24" s="55"/>
      <c r="S24" s="55"/>
      <c r="T24" s="56"/>
    </row>
    <row r="25" spans="2:20" x14ac:dyDescent="0.3">
      <c r="B25" s="9" t="s">
        <v>189</v>
      </c>
      <c r="C25" s="4">
        <v>-3904</v>
      </c>
      <c r="D25" s="4">
        <v>-539</v>
      </c>
      <c r="E25" s="4">
        <v>1584</v>
      </c>
      <c r="F25" s="4">
        <v>68</v>
      </c>
      <c r="G25" s="60">
        <v>2564</v>
      </c>
      <c r="Q25" s="55"/>
      <c r="R25" s="55"/>
      <c r="S25" s="55"/>
      <c r="T25" s="56"/>
    </row>
    <row r="26" spans="2:20" x14ac:dyDescent="0.3">
      <c r="B26" s="9" t="s">
        <v>190</v>
      </c>
      <c r="C26" s="4">
        <v>257</v>
      </c>
      <c r="D26" s="4">
        <v>-1</v>
      </c>
      <c r="E26" s="4">
        <v>21</v>
      </c>
      <c r="F26" s="4" t="s">
        <v>263</v>
      </c>
      <c r="G26" s="60">
        <v>200</v>
      </c>
      <c r="Q26" s="55"/>
      <c r="R26" s="55"/>
      <c r="S26" s="55"/>
      <c r="T26" s="56"/>
    </row>
    <row r="27" spans="2:20" x14ac:dyDescent="0.3">
      <c r="B27" s="9" t="s">
        <v>191</v>
      </c>
      <c r="C27" s="4">
        <v>-3889</v>
      </c>
      <c r="D27" s="4">
        <v>-3987</v>
      </c>
      <c r="E27" s="4">
        <v>-3982</v>
      </c>
      <c r="F27" s="4">
        <v>-3794</v>
      </c>
      <c r="G27" s="60">
        <v>-3782</v>
      </c>
      <c r="Q27" s="55"/>
      <c r="R27" s="55"/>
      <c r="S27" s="55"/>
      <c r="T27" s="56"/>
    </row>
    <row r="28" spans="2:20" x14ac:dyDescent="0.3">
      <c r="B28" s="13"/>
      <c r="C28" s="4"/>
      <c r="D28" s="4"/>
      <c r="E28" s="4">
        <v>0</v>
      </c>
      <c r="F28" s="4"/>
      <c r="G28" s="60"/>
      <c r="Q28" s="55"/>
      <c r="R28" s="55"/>
      <c r="S28" s="55"/>
      <c r="T28" s="56"/>
    </row>
    <row r="29" spans="2:20" ht="15" thickBot="1" x14ac:dyDescent="0.35">
      <c r="B29" s="62" t="s">
        <v>64</v>
      </c>
      <c r="C29" s="4"/>
      <c r="D29" s="4"/>
      <c r="E29" s="4">
        <v>0</v>
      </c>
      <c r="F29" s="4"/>
      <c r="G29" s="60"/>
      <c r="Q29" s="55"/>
      <c r="R29" s="55"/>
      <c r="S29" s="55"/>
      <c r="T29" s="56"/>
    </row>
    <row r="30" spans="2:20" x14ac:dyDescent="0.3">
      <c r="B30" s="9" t="s">
        <v>171</v>
      </c>
      <c r="C30" s="4">
        <v>7787</v>
      </c>
      <c r="D30" s="4">
        <v>-6331</v>
      </c>
      <c r="E30" s="4">
        <v>5704</v>
      </c>
      <c r="F30" s="4">
        <v>-4282</v>
      </c>
      <c r="G30" s="60">
        <v>-1943.4</v>
      </c>
      <c r="Q30" s="55"/>
      <c r="R30" s="55"/>
      <c r="S30" s="55"/>
      <c r="T30" s="56"/>
    </row>
    <row r="31" spans="2:20" x14ac:dyDescent="0.3">
      <c r="B31" s="9" t="s">
        <v>192</v>
      </c>
      <c r="C31" s="4">
        <v>-9604</v>
      </c>
      <c r="D31" s="4">
        <v>-1412</v>
      </c>
      <c r="E31" s="4">
        <v>1685</v>
      </c>
      <c r="F31" s="4">
        <v>-9380</v>
      </c>
      <c r="G31" s="60">
        <v>6363.6</v>
      </c>
      <c r="Q31" s="55"/>
      <c r="R31" s="55"/>
      <c r="S31" s="55"/>
      <c r="T31" s="56"/>
    </row>
    <row r="32" spans="2:20" x14ac:dyDescent="0.3">
      <c r="B32" s="9" t="s">
        <v>65</v>
      </c>
      <c r="C32" s="4">
        <v>632</v>
      </c>
      <c r="D32" s="4">
        <v>781</v>
      </c>
      <c r="E32" s="4">
        <v>-410</v>
      </c>
      <c r="F32" s="4">
        <v>-2861</v>
      </c>
      <c r="G32" s="60">
        <v>2555</v>
      </c>
      <c r="Q32" s="55"/>
      <c r="R32" s="55"/>
      <c r="S32" s="55"/>
      <c r="T32" s="56"/>
    </row>
    <row r="33" spans="2:20" x14ac:dyDescent="0.3">
      <c r="B33" s="9" t="s">
        <v>193</v>
      </c>
      <c r="C33" s="4">
        <v>-5564</v>
      </c>
      <c r="D33" s="4">
        <v>7482</v>
      </c>
      <c r="E33" s="4">
        <v>-4540</v>
      </c>
      <c r="F33" s="4">
        <v>842</v>
      </c>
      <c r="G33" s="60">
        <v>-3339</v>
      </c>
      <c r="Q33" s="55"/>
      <c r="R33" s="55"/>
      <c r="S33" s="55"/>
      <c r="T33" s="56"/>
    </row>
    <row r="34" spans="2:20" x14ac:dyDescent="0.3">
      <c r="B34" s="9" t="s">
        <v>194</v>
      </c>
      <c r="C34" s="4">
        <v>-134</v>
      </c>
      <c r="D34" s="4">
        <v>2726</v>
      </c>
      <c r="E34" s="4">
        <v>-461</v>
      </c>
      <c r="F34" s="4">
        <v>-38</v>
      </c>
      <c r="G34" s="60">
        <v>-564</v>
      </c>
      <c r="Q34" s="55"/>
      <c r="R34" s="55"/>
      <c r="S34" s="55"/>
      <c r="T34" s="56"/>
    </row>
    <row r="35" spans="2:20" x14ac:dyDescent="0.3">
      <c r="C35" s="4"/>
      <c r="D35" s="4"/>
      <c r="E35" s="4"/>
      <c r="F35" s="4"/>
      <c r="G35" s="60"/>
      <c r="Q35" s="55"/>
      <c r="R35" s="55"/>
      <c r="S35" s="55"/>
      <c r="T35" s="56"/>
    </row>
    <row r="36" spans="2:20" ht="9" customHeight="1" thickBot="1" x14ac:dyDescent="0.35">
      <c r="B36" s="13"/>
      <c r="C36" s="4"/>
      <c r="D36" s="4"/>
      <c r="E36" s="4"/>
      <c r="F36" s="4"/>
      <c r="G36" s="60"/>
      <c r="Q36" s="55"/>
      <c r="R36" s="55"/>
      <c r="S36" s="55"/>
      <c r="T36" s="56"/>
    </row>
    <row r="37" spans="2:20" ht="15" thickBot="1" x14ac:dyDescent="0.35">
      <c r="B37" s="14" t="s">
        <v>66</v>
      </c>
      <c r="C37" s="11">
        <f>SUM(C6:C34)</f>
        <v>9671</v>
      </c>
      <c r="D37" s="11">
        <f>SUM(D6:D34)</f>
        <v>15075</v>
      </c>
      <c r="E37" s="11">
        <f>SUM(E6:E34)</f>
        <v>12508</v>
      </c>
      <c r="F37" s="11">
        <f>SUM(F6:F34)</f>
        <v>-2273</v>
      </c>
      <c r="G37" s="63">
        <f>SUM(G6:G34)</f>
        <v>22652.199999999997</v>
      </c>
      <c r="Q37" s="55"/>
      <c r="R37" s="55"/>
      <c r="S37" s="55"/>
      <c r="T37" s="56"/>
    </row>
    <row r="38" spans="2:20" ht="9" customHeight="1" x14ac:dyDescent="0.3">
      <c r="G38" s="61"/>
      <c r="Q38" s="55"/>
      <c r="R38" s="55"/>
      <c r="S38" s="55"/>
      <c r="T38" s="56"/>
    </row>
    <row r="39" spans="2:20" x14ac:dyDescent="0.3">
      <c r="B39" s="9" t="s">
        <v>67</v>
      </c>
      <c r="C39" s="4">
        <v>-2657</v>
      </c>
      <c r="D39" s="4">
        <v>-2336</v>
      </c>
      <c r="E39" s="4">
        <v>-2518</v>
      </c>
      <c r="F39" s="4">
        <v>-2100</v>
      </c>
      <c r="G39" s="60">
        <v>-1789</v>
      </c>
      <c r="Q39" s="55"/>
      <c r="R39" s="55"/>
      <c r="S39" s="55"/>
      <c r="T39" s="56"/>
    </row>
    <row r="40" spans="2:20" x14ac:dyDescent="0.3">
      <c r="B40" s="9" t="s">
        <v>172</v>
      </c>
      <c r="C40" s="4">
        <v>-320</v>
      </c>
      <c r="D40" s="4">
        <v>-240</v>
      </c>
      <c r="E40" s="4">
        <v>-146</v>
      </c>
      <c r="F40" s="4">
        <v>-734</v>
      </c>
      <c r="G40" s="60">
        <v>-490</v>
      </c>
      <c r="Q40" s="55"/>
      <c r="R40" s="55"/>
      <c r="S40" s="55"/>
      <c r="T40" s="56"/>
    </row>
    <row r="41" spans="2:20" x14ac:dyDescent="0.3">
      <c r="B41" s="13" t="s">
        <v>195</v>
      </c>
      <c r="C41" s="4">
        <v>-402</v>
      </c>
      <c r="D41" s="4">
        <v>-271</v>
      </c>
      <c r="E41" s="4">
        <v>-408</v>
      </c>
      <c r="F41" s="4">
        <v>-603</v>
      </c>
      <c r="G41" s="60">
        <v>-319</v>
      </c>
      <c r="Q41" s="55"/>
      <c r="R41" s="55"/>
      <c r="S41" s="55"/>
      <c r="T41" s="56"/>
    </row>
    <row r="42" spans="2:20" ht="9.6" customHeight="1" thickBot="1" x14ac:dyDescent="0.35">
      <c r="B42" s="13"/>
      <c r="C42" s="4"/>
      <c r="D42" s="4"/>
      <c r="E42" s="4"/>
      <c r="F42" s="4"/>
      <c r="G42" s="60"/>
      <c r="Q42" s="55"/>
      <c r="R42" s="55"/>
      <c r="S42" s="55"/>
      <c r="T42" s="56"/>
    </row>
    <row r="43" spans="2:20" ht="15" thickBot="1" x14ac:dyDescent="0.35">
      <c r="B43" s="14" t="s">
        <v>68</v>
      </c>
      <c r="C43" s="2">
        <f t="shared" ref="C43:D43" si="4">C37+C39+C40+C41</f>
        <v>6292</v>
      </c>
      <c r="D43" s="2">
        <f t="shared" si="4"/>
        <v>12228</v>
      </c>
      <c r="E43" s="2">
        <f>E37+E39+E40+E41</f>
        <v>9436</v>
      </c>
      <c r="F43" s="2">
        <f>F37+F39+F40+F41</f>
        <v>-5710</v>
      </c>
      <c r="G43" s="63">
        <f>G37+G39+G40+G41</f>
        <v>20054.199999999997</v>
      </c>
      <c r="Q43" s="55"/>
      <c r="R43" s="55"/>
      <c r="S43" s="55"/>
      <c r="T43" s="56"/>
    </row>
    <row r="44" spans="2:20" ht="6" customHeight="1" x14ac:dyDescent="0.3">
      <c r="G44" s="61"/>
      <c r="Q44" s="55"/>
      <c r="R44" s="55"/>
      <c r="S44" s="55"/>
      <c r="T44" s="56"/>
    </row>
    <row r="45" spans="2:20" ht="15" thickBot="1" x14ac:dyDescent="0.35">
      <c r="B45" s="62" t="s">
        <v>69</v>
      </c>
      <c r="G45" s="61"/>
      <c r="Q45" s="55"/>
      <c r="R45" s="55"/>
      <c r="S45" s="55"/>
      <c r="T45" s="56"/>
    </row>
    <row r="46" spans="2:20" x14ac:dyDescent="0.3">
      <c r="B46" s="9" t="s">
        <v>72</v>
      </c>
      <c r="C46" s="4">
        <v>-13203</v>
      </c>
      <c r="D46" s="4">
        <v>-12108</v>
      </c>
      <c r="E46" s="4">
        <v>-5244</v>
      </c>
      <c r="F46" s="4">
        <v>-3710</v>
      </c>
      <c r="G46" s="60">
        <v>-2775</v>
      </c>
      <c r="Q46" s="55"/>
      <c r="R46" s="55"/>
      <c r="S46" s="55"/>
      <c r="T46" s="56"/>
    </row>
    <row r="47" spans="2:20" x14ac:dyDescent="0.3">
      <c r="B47" s="9" t="s">
        <v>75</v>
      </c>
      <c r="C47" s="4"/>
      <c r="D47" s="4"/>
      <c r="E47" s="4"/>
      <c r="F47" s="4"/>
      <c r="G47" s="60">
        <v>-285</v>
      </c>
      <c r="Q47" s="55"/>
      <c r="R47" s="55"/>
      <c r="S47" s="55"/>
      <c r="T47" s="56"/>
    </row>
    <row r="48" spans="2:20" x14ac:dyDescent="0.3">
      <c r="B48" s="9" t="s">
        <v>74</v>
      </c>
      <c r="C48" s="4">
        <v>0</v>
      </c>
      <c r="D48" s="4">
        <v>1824</v>
      </c>
      <c r="E48" s="4">
        <v>136</v>
      </c>
      <c r="F48" s="4">
        <v>161</v>
      </c>
      <c r="G48" s="60">
        <v>31</v>
      </c>
      <c r="Q48" s="55"/>
      <c r="R48" s="55"/>
      <c r="S48" s="55"/>
      <c r="T48" s="56"/>
    </row>
    <row r="49" spans="2:20" x14ac:dyDescent="0.3">
      <c r="B49" s="9" t="s">
        <v>78</v>
      </c>
      <c r="C49" s="4">
        <v>18923</v>
      </c>
      <c r="D49" s="4">
        <v>0</v>
      </c>
      <c r="E49" s="4">
        <v>0</v>
      </c>
      <c r="F49" s="4"/>
      <c r="G49" s="60"/>
      <c r="Q49" s="55"/>
      <c r="R49" s="55"/>
      <c r="S49" s="55"/>
      <c r="T49" s="56"/>
    </row>
    <row r="50" spans="2:20" x14ac:dyDescent="0.3">
      <c r="B50" s="9" t="s">
        <v>196</v>
      </c>
      <c r="C50" s="4">
        <v>0</v>
      </c>
      <c r="D50" s="4">
        <v>0</v>
      </c>
      <c r="E50" s="4">
        <v>0</v>
      </c>
      <c r="F50" s="4"/>
      <c r="G50" s="60"/>
      <c r="Q50" s="55"/>
      <c r="R50" s="55"/>
      <c r="S50" s="55"/>
      <c r="T50" s="56"/>
    </row>
    <row r="51" spans="2:20" x14ac:dyDescent="0.3">
      <c r="B51" s="9" t="s">
        <v>197</v>
      </c>
      <c r="C51" s="4">
        <v>0</v>
      </c>
      <c r="D51" s="4">
        <v>0</v>
      </c>
      <c r="E51" s="4">
        <v>0</v>
      </c>
      <c r="F51" s="4"/>
      <c r="G51" s="60"/>
      <c r="Q51" s="55"/>
      <c r="R51" s="55"/>
      <c r="S51" s="55"/>
      <c r="T51" s="56"/>
    </row>
    <row r="52" spans="2:20" x14ac:dyDescent="0.3">
      <c r="B52" s="9" t="s">
        <v>73</v>
      </c>
      <c r="C52" s="4">
        <v>-1121</v>
      </c>
      <c r="D52" s="4">
        <v>0</v>
      </c>
      <c r="E52" s="4">
        <v>0</v>
      </c>
      <c r="F52" s="4"/>
      <c r="G52" s="60"/>
      <c r="Q52" s="55"/>
      <c r="R52" s="55"/>
      <c r="S52" s="55"/>
      <c r="T52" s="56"/>
    </row>
    <row r="53" spans="2:20" x14ac:dyDescent="0.3">
      <c r="B53" s="41" t="s">
        <v>243</v>
      </c>
      <c r="C53" s="4">
        <v>0</v>
      </c>
      <c r="D53" s="4">
        <v>0</v>
      </c>
      <c r="E53" s="4">
        <v>18086</v>
      </c>
      <c r="F53" s="4">
        <v>-23</v>
      </c>
      <c r="G53" s="60">
        <v>0</v>
      </c>
      <c r="Q53" s="55"/>
      <c r="R53" s="55"/>
      <c r="S53" s="55"/>
      <c r="T53" s="56"/>
    </row>
    <row r="54" spans="2:20" x14ac:dyDescent="0.3">
      <c r="B54" s="9" t="s">
        <v>70</v>
      </c>
      <c r="C54" s="4">
        <v>12</v>
      </c>
      <c r="D54" s="4">
        <v>26</v>
      </c>
      <c r="E54" s="4">
        <v>5</v>
      </c>
      <c r="F54" s="4">
        <v>6</v>
      </c>
      <c r="G54" s="60">
        <v>90</v>
      </c>
      <c r="Q54" s="55"/>
      <c r="R54" s="55"/>
      <c r="S54" s="55"/>
      <c r="T54" s="56"/>
    </row>
    <row r="55" spans="2:20" x14ac:dyDescent="0.3">
      <c r="B55" s="9" t="s">
        <v>71</v>
      </c>
      <c r="C55" s="4">
        <v>0</v>
      </c>
      <c r="D55" s="4">
        <v>0</v>
      </c>
      <c r="E55" s="4">
        <v>0</v>
      </c>
      <c r="F55" s="4"/>
      <c r="G55" s="60"/>
      <c r="Q55" s="55"/>
      <c r="R55" s="55"/>
      <c r="S55" s="55"/>
      <c r="T55" s="56"/>
    </row>
    <row r="56" spans="2:20" x14ac:dyDescent="0.3">
      <c r="B56" s="41" t="s">
        <v>262</v>
      </c>
      <c r="C56" s="4"/>
      <c r="D56" s="4"/>
      <c r="E56" s="4"/>
      <c r="F56" s="4">
        <v>16186</v>
      </c>
      <c r="G56" s="60">
        <v>7041</v>
      </c>
      <c r="Q56" s="55"/>
      <c r="R56" s="55"/>
      <c r="S56" s="55"/>
      <c r="T56" s="56"/>
    </row>
    <row r="57" spans="2:20" ht="15" thickBot="1" x14ac:dyDescent="0.35">
      <c r="G57" s="61"/>
      <c r="Q57" s="55"/>
      <c r="R57" s="55"/>
      <c r="S57" s="55"/>
      <c r="T57" s="56"/>
    </row>
    <row r="58" spans="2:20" ht="15" thickBot="1" x14ac:dyDescent="0.35">
      <c r="B58" s="14" t="s">
        <v>76</v>
      </c>
      <c r="C58" s="2">
        <f t="shared" ref="C58" si="5">SUM(C46:C56)</f>
        <v>4611</v>
      </c>
      <c r="D58" s="2">
        <f>SUM(D46:D56)</f>
        <v>-10258</v>
      </c>
      <c r="E58" s="2">
        <f t="shared" ref="E58" si="6">SUM(E46:E56)</f>
        <v>12983</v>
      </c>
      <c r="F58" s="2">
        <f t="shared" ref="F58:G58" si="7">SUM(F46:F56)</f>
        <v>12620</v>
      </c>
      <c r="G58" s="63">
        <f t="shared" si="7"/>
        <v>4102</v>
      </c>
      <c r="Q58" s="55"/>
      <c r="R58" s="55"/>
      <c r="S58" s="55"/>
      <c r="T58" s="56"/>
    </row>
    <row r="59" spans="2:20" x14ac:dyDescent="0.3">
      <c r="G59" s="61"/>
      <c r="Q59" s="55"/>
      <c r="R59" s="55"/>
      <c r="S59" s="55"/>
      <c r="T59" s="56"/>
    </row>
    <row r="60" spans="2:20" ht="15" thickBot="1" x14ac:dyDescent="0.35">
      <c r="B60" s="62" t="s">
        <v>77</v>
      </c>
      <c r="G60" s="61"/>
      <c r="Q60" s="55"/>
      <c r="R60" s="55"/>
      <c r="S60" s="55"/>
      <c r="T60" s="56"/>
    </row>
    <row r="61" spans="2:20" x14ac:dyDescent="0.3">
      <c r="C61" s="4"/>
      <c r="D61" s="4"/>
      <c r="E61" s="4"/>
      <c r="F61" s="4"/>
      <c r="G61" s="60"/>
      <c r="Q61" s="55"/>
      <c r="R61" s="55"/>
      <c r="S61" s="55"/>
      <c r="T61" s="56"/>
    </row>
    <row r="62" spans="2:20" x14ac:dyDescent="0.3">
      <c r="B62" s="9" t="s">
        <v>198</v>
      </c>
      <c r="C62" s="4">
        <v>-12937</v>
      </c>
      <c r="D62" s="4">
        <v>-4400</v>
      </c>
      <c r="E62" s="4">
        <v>-16569</v>
      </c>
      <c r="F62" s="4">
        <v>-5919</v>
      </c>
      <c r="G62" s="60">
        <v>-13215</v>
      </c>
      <c r="Q62" s="55"/>
      <c r="R62" s="55"/>
      <c r="S62" s="55"/>
      <c r="T62" s="56"/>
    </row>
    <row r="63" spans="2:20" x14ac:dyDescent="0.3">
      <c r="B63" s="9" t="s">
        <v>199</v>
      </c>
      <c r="C63" s="4">
        <v>-1190</v>
      </c>
      <c r="D63" s="4">
        <v>-1110</v>
      </c>
      <c r="E63" s="4">
        <v>-49</v>
      </c>
      <c r="F63" s="4">
        <v>-13</v>
      </c>
      <c r="G63" s="60"/>
      <c r="Q63" s="55"/>
      <c r="R63" s="55"/>
      <c r="S63" s="55"/>
      <c r="T63" s="56"/>
    </row>
    <row r="64" spans="2:20" x14ac:dyDescent="0.3">
      <c r="B64" s="9" t="s">
        <v>200</v>
      </c>
      <c r="C64" s="4">
        <v>-2245</v>
      </c>
      <c r="D64" s="4">
        <v>-2007</v>
      </c>
      <c r="E64" s="4">
        <v>-2007</v>
      </c>
      <c r="F64" s="4">
        <v>-1005</v>
      </c>
      <c r="G64" s="60"/>
      <c r="Q64" s="55"/>
      <c r="R64" s="55"/>
      <c r="S64" s="55"/>
      <c r="T64" s="56"/>
    </row>
    <row r="65" spans="2:20" x14ac:dyDescent="0.3">
      <c r="C65" s="4"/>
      <c r="D65" s="4"/>
      <c r="E65" s="4"/>
      <c r="F65" s="4"/>
      <c r="G65" s="60"/>
      <c r="Q65" s="55"/>
      <c r="R65" s="55"/>
      <c r="S65" s="55"/>
      <c r="T65" s="56"/>
    </row>
    <row r="66" spans="2:20" ht="15" thickBot="1" x14ac:dyDescent="0.35">
      <c r="G66" s="61"/>
      <c r="Q66" s="55"/>
      <c r="R66" s="55"/>
      <c r="S66" s="55"/>
      <c r="T66" s="56"/>
    </row>
    <row r="67" spans="2:20" ht="15" thickBot="1" x14ac:dyDescent="0.35">
      <c r="B67" s="14" t="s">
        <v>244</v>
      </c>
      <c r="C67" s="2">
        <f t="shared" ref="C67:E67" si="8">SUM(C61:C65)</f>
        <v>-16372</v>
      </c>
      <c r="D67" s="2">
        <f t="shared" si="8"/>
        <v>-7517</v>
      </c>
      <c r="E67" s="2">
        <f t="shared" si="8"/>
        <v>-18625</v>
      </c>
      <c r="F67" s="2">
        <f t="shared" ref="F67:G67" si="9">SUM(F61:F65)</f>
        <v>-6937</v>
      </c>
      <c r="G67" s="63">
        <f t="shared" si="9"/>
        <v>-13215</v>
      </c>
      <c r="Q67" s="55"/>
      <c r="R67" s="55"/>
      <c r="S67" s="55"/>
      <c r="T67" s="56"/>
    </row>
    <row r="68" spans="2:20" ht="15" thickBot="1" x14ac:dyDescent="0.35">
      <c r="G68" s="61"/>
      <c r="Q68" s="55"/>
      <c r="R68" s="55"/>
      <c r="S68" s="55"/>
      <c r="T68" s="56"/>
    </row>
    <row r="69" spans="2:20" ht="15" thickBot="1" x14ac:dyDescent="0.35">
      <c r="B69" s="14" t="s">
        <v>79</v>
      </c>
      <c r="C69" s="2">
        <f>C67+C58+C43</f>
        <v>-5469</v>
      </c>
      <c r="D69" s="2">
        <f>D67+D58+D43</f>
        <v>-5547</v>
      </c>
      <c r="E69" s="2">
        <f>E67+E58+E43</f>
        <v>3794</v>
      </c>
      <c r="F69" s="2">
        <f>F67+F58+F43</f>
        <v>-27</v>
      </c>
      <c r="G69" s="63">
        <f>G67+G58+G43</f>
        <v>10941.199999999997</v>
      </c>
      <c r="Q69" s="55"/>
      <c r="R69" s="55"/>
      <c r="S69" s="55"/>
      <c r="T69" s="56"/>
    </row>
    <row r="70" spans="2:20" x14ac:dyDescent="0.3">
      <c r="G70" s="61"/>
      <c r="Q70" s="55"/>
      <c r="R70" s="55"/>
      <c r="S70" s="55"/>
      <c r="T70" s="56"/>
    </row>
    <row r="71" spans="2:20" x14ac:dyDescent="0.3">
      <c r="B71" s="9" t="s">
        <v>80</v>
      </c>
      <c r="C71" s="4">
        <v>17014</v>
      </c>
      <c r="D71" s="4">
        <v>11544</v>
      </c>
      <c r="E71" s="4">
        <v>5997</v>
      </c>
      <c r="F71" s="4">
        <f>E75</f>
        <v>9791</v>
      </c>
      <c r="G71" s="60">
        <f>F75</f>
        <v>9764</v>
      </c>
      <c r="Q71" s="55"/>
      <c r="R71" s="55"/>
      <c r="S71" s="55"/>
      <c r="T71" s="56"/>
    </row>
    <row r="72" spans="2:20" ht="6.75" customHeight="1" x14ac:dyDescent="0.3">
      <c r="C72" s="4"/>
      <c r="D72" s="4"/>
      <c r="E72" s="4"/>
      <c r="F72" s="4"/>
      <c r="G72" s="60"/>
      <c r="Q72" s="55"/>
      <c r="R72" s="55"/>
      <c r="S72" s="55"/>
      <c r="T72" s="56"/>
    </row>
    <row r="73" spans="2:20" ht="28.5" customHeight="1" x14ac:dyDescent="0.3">
      <c r="B73" s="15" t="s">
        <v>81</v>
      </c>
      <c r="C73" s="4">
        <v>0</v>
      </c>
      <c r="D73" s="4">
        <v>0</v>
      </c>
      <c r="E73" s="4">
        <v>0</v>
      </c>
      <c r="F73" s="4">
        <v>0</v>
      </c>
      <c r="G73" s="60">
        <v>0</v>
      </c>
      <c r="Q73" s="55"/>
      <c r="R73" s="55"/>
      <c r="S73" s="55"/>
      <c r="T73" s="56"/>
    </row>
    <row r="74" spans="2:20" ht="7.5" customHeight="1" thickBot="1" x14ac:dyDescent="0.35">
      <c r="G74" s="61"/>
      <c r="Q74" s="55"/>
      <c r="R74" s="55"/>
      <c r="S74" s="55"/>
      <c r="T74" s="56"/>
    </row>
    <row r="75" spans="2:20" ht="15" thickBot="1" x14ac:dyDescent="0.35">
      <c r="B75" s="14" t="s">
        <v>82</v>
      </c>
      <c r="C75" s="11">
        <f t="shared" ref="C75:E75" si="10">C69+C71+C73</f>
        <v>11545</v>
      </c>
      <c r="D75" s="11">
        <f t="shared" si="10"/>
        <v>5997</v>
      </c>
      <c r="E75" s="11">
        <f t="shared" si="10"/>
        <v>9791</v>
      </c>
      <c r="F75" s="11">
        <f t="shared" ref="F75:G75" si="11">F69+F71+F73</f>
        <v>9764</v>
      </c>
      <c r="G75" s="59">
        <f t="shared" si="11"/>
        <v>20705.199999999997</v>
      </c>
      <c r="Q75" s="55"/>
      <c r="R75" s="55"/>
      <c r="S75" s="55"/>
      <c r="T75" s="56"/>
    </row>
    <row r="77" spans="2:20" x14ac:dyDescent="0.3">
      <c r="B77" s="7" t="s">
        <v>26</v>
      </c>
      <c r="C77" s="10">
        <f>C75-'1.FinancialPosition'!C16</f>
        <v>1</v>
      </c>
      <c r="D77" s="10">
        <f>D75-'1.FinancialPosition'!D16</f>
        <v>0</v>
      </c>
      <c r="E77" s="10">
        <f>E75-'1.FinancialPosition'!E16</f>
        <v>0</v>
      </c>
      <c r="F77" s="10">
        <f>F75-'1.FinancialPosition'!F16</f>
        <v>0</v>
      </c>
      <c r="G77" s="10">
        <f>G75-'1.FinancialPosition'!G16</f>
        <v>0.19999999999708962</v>
      </c>
    </row>
    <row r="80" spans="2:20" x14ac:dyDescent="0.3">
      <c r="C80" s="10"/>
      <c r="D80" s="10"/>
      <c r="E80" s="10"/>
      <c r="F80" s="10"/>
      <c r="G80" s="10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Q21"/>
  <sheetViews>
    <sheetView showGridLines="0" zoomScale="96" zoomScaleNormal="96" workbookViewId="0">
      <pane xSplit="3" ySplit="3" topLeftCell="D4" activePane="bottomRight" state="frozen"/>
      <selection pane="topRight" activeCell="E1" sqref="E1"/>
      <selection pane="bottomLeft" activeCell="A4" sqref="A4"/>
      <selection pane="bottomRight" activeCell="H25" sqref="H25"/>
    </sheetView>
  </sheetViews>
  <sheetFormatPr defaultColWidth="9.109375" defaultRowHeight="14.4" x14ac:dyDescent="0.3"/>
  <cols>
    <col min="1" max="1" width="4.109375" style="1" customWidth="1"/>
    <col min="2" max="2" width="33.5546875" style="1" customWidth="1"/>
    <col min="3" max="3" width="41.33203125" style="1" customWidth="1"/>
    <col min="4" max="4" width="8.5546875" style="1" bestFit="1" customWidth="1"/>
    <col min="5" max="7" width="9" style="1" bestFit="1" customWidth="1"/>
    <col min="8" max="8" width="12.44140625" style="1" bestFit="1" customWidth="1"/>
    <col min="9" max="9" width="4.5546875" style="1" customWidth="1"/>
    <col min="10" max="10" width="3.109375" style="1" customWidth="1"/>
    <col min="11" max="11" width="50.109375" style="1" bestFit="1" customWidth="1"/>
    <col min="12" max="12" width="11.6640625" style="179" bestFit="1" customWidth="1"/>
    <col min="13" max="13" width="12" style="179" bestFit="1" customWidth="1"/>
    <col min="14" max="14" width="11.88671875" style="179" bestFit="1" customWidth="1"/>
    <col min="15" max="16384" width="9.109375" style="1"/>
  </cols>
  <sheetData>
    <row r="2" spans="2:17" ht="15" thickBot="1" x14ac:dyDescent="0.35"/>
    <row r="3" spans="2:17" ht="18.75" customHeight="1" thickBot="1" x14ac:dyDescent="0.35">
      <c r="B3" s="151" t="s">
        <v>0</v>
      </c>
      <c r="C3" s="151" t="s">
        <v>29</v>
      </c>
      <c r="D3" s="152">
        <v>2016</v>
      </c>
      <c r="E3" s="152">
        <f>D3+1</f>
        <v>2017</v>
      </c>
      <c r="F3" s="152">
        <f t="shared" ref="F3:H3" si="0">E3+1</f>
        <v>2018</v>
      </c>
      <c r="G3" s="152">
        <f t="shared" si="0"/>
        <v>2019</v>
      </c>
      <c r="H3" s="152">
        <f t="shared" si="0"/>
        <v>2020</v>
      </c>
    </row>
    <row r="4" spans="2:17" x14ac:dyDescent="0.3">
      <c r="B4" s="1" t="s">
        <v>30</v>
      </c>
      <c r="C4" s="3" t="s">
        <v>44</v>
      </c>
      <c r="D4" s="3">
        <f>'EBIT-EBITDA'!C7</f>
        <v>6213.2309999999998</v>
      </c>
      <c r="E4" s="3">
        <f>'EBIT-EBITDA'!D7</f>
        <v>1995.4029999999998</v>
      </c>
      <c r="F4" s="3">
        <f>'EBIT-EBITDA'!E7</f>
        <v>-1788.317</v>
      </c>
      <c r="G4" s="3">
        <f>'EBIT-EBITDA'!F7</f>
        <v>-243.3266434246575</v>
      </c>
      <c r="H4" s="155">
        <f>'EBIT-EBITDA'!G7</f>
        <v>1973.19793</v>
      </c>
      <c r="O4" s="181"/>
      <c r="P4" s="181"/>
      <c r="Q4" s="181"/>
    </row>
    <row r="5" spans="2:17" x14ac:dyDescent="0.3">
      <c r="B5" s="1" t="s">
        <v>28</v>
      </c>
      <c r="C5" s="3" t="s">
        <v>44</v>
      </c>
      <c r="D5" s="3">
        <f>'EBIT-EBITDA'!C10</f>
        <v>17175.630999999998</v>
      </c>
      <c r="E5" s="3">
        <f>'EBIT-EBITDA'!D10</f>
        <v>14234.901000000002</v>
      </c>
      <c r="F5" s="3">
        <f>'EBIT-EBITDA'!E10</f>
        <v>10585.352999999999</v>
      </c>
      <c r="G5" s="3">
        <f>'EBIT-EBITDA'!F10</f>
        <v>12096.951796575342</v>
      </c>
      <c r="H5" s="155">
        <f>'EBIT-EBITDA'!G10</f>
        <v>13463.277339999997</v>
      </c>
      <c r="O5" s="181"/>
      <c r="P5" s="181"/>
      <c r="Q5" s="181"/>
    </row>
    <row r="6" spans="2:17" x14ac:dyDescent="0.3">
      <c r="B6" s="1" t="s">
        <v>31</v>
      </c>
      <c r="C6" s="3" t="s">
        <v>246</v>
      </c>
      <c r="D6" s="3">
        <f>'2.Comprehensive income'!C54</f>
        <v>240212.48799999998</v>
      </c>
      <c r="E6" s="3">
        <f>'2.Comprehensive income'!D54</f>
        <v>254396.23699999999</v>
      </c>
      <c r="F6" s="3">
        <f>'2.Comprehensive income'!E54</f>
        <v>260015.83700000003</v>
      </c>
      <c r="G6" s="3">
        <f>'2.Comprehensive income'!F54</f>
        <v>248707.44025413372</v>
      </c>
      <c r="H6" s="155">
        <f>'2.Comprehensive income'!G54</f>
        <v>257465.3228587457</v>
      </c>
      <c r="O6" s="181"/>
      <c r="P6" s="181"/>
      <c r="Q6" s="181"/>
    </row>
    <row r="7" spans="2:17" x14ac:dyDescent="0.3">
      <c r="B7" s="1" t="s">
        <v>32</v>
      </c>
      <c r="C7" s="3" t="s">
        <v>45</v>
      </c>
      <c r="D7" s="16">
        <f>D5/D6</f>
        <v>7.1501823835237066E-2</v>
      </c>
      <c r="E7" s="16">
        <f t="shared" ref="E7:F7" si="1">E5/E6</f>
        <v>5.5955627205287642E-2</v>
      </c>
      <c r="F7" s="16">
        <f t="shared" si="1"/>
        <v>4.0710416419750609E-2</v>
      </c>
      <c r="G7" s="16">
        <f t="shared" ref="G7:H7" si="2">G5/G6</f>
        <v>4.8639283908090809E-2</v>
      </c>
      <c r="H7" s="156">
        <f t="shared" si="2"/>
        <v>5.2291614227933957E-2</v>
      </c>
      <c r="L7" s="180"/>
      <c r="M7" s="180"/>
      <c r="N7" s="180"/>
      <c r="O7" s="181"/>
      <c r="P7" s="181"/>
      <c r="Q7" s="181"/>
    </row>
    <row r="8" spans="2:17" x14ac:dyDescent="0.3">
      <c r="B8" s="1" t="s">
        <v>33</v>
      </c>
      <c r="C8" s="1" t="s">
        <v>46</v>
      </c>
      <c r="D8" s="16">
        <f>D5/'1.FinancialPosition'!C26</f>
        <v>0.11369846355494063</v>
      </c>
      <c r="E8" s="16">
        <f>E5/'1.FinancialPosition'!D26</f>
        <v>9.6543802773915707E-2</v>
      </c>
      <c r="F8" s="16">
        <f>F5/'1.FinancialPosition'!E26</f>
        <v>7.4247748442848316E-2</v>
      </c>
      <c r="G8" s="16">
        <f>G5/'1.FinancialPosition'!F26</f>
        <v>8.6678597864556298E-2</v>
      </c>
      <c r="H8" s="156">
        <f>H5/'1.FinancialPosition'!G26</f>
        <v>9.6364502261795673E-2</v>
      </c>
      <c r="L8" s="180"/>
      <c r="M8" s="180"/>
      <c r="N8" s="180"/>
      <c r="O8" s="181"/>
      <c r="P8" s="181"/>
      <c r="Q8" s="181"/>
    </row>
    <row r="9" spans="2:17" x14ac:dyDescent="0.3">
      <c r="B9" s="1" t="s">
        <v>34</v>
      </c>
      <c r="C9" s="1" t="s">
        <v>47</v>
      </c>
      <c r="D9" s="16">
        <f>'2.Comprehensive income'!C16/D6</f>
        <v>1.480356008801674E-2</v>
      </c>
      <c r="E9" s="16">
        <f>'2.Comprehensive income'!D16/E6</f>
        <v>-1.3404286322049647E-3</v>
      </c>
      <c r="F9" s="16">
        <f>'2.Comprehensive income'!E16/F6</f>
        <v>-1.6556683814609337E-2</v>
      </c>
      <c r="G9" s="16">
        <f>'2.Comprehensive income'!F16/G6</f>
        <v>-9.4207073081765489E-3</v>
      </c>
      <c r="H9" s="156">
        <f>'2.Comprehensive income'!G16/H6</f>
        <v>7.1465934890559493E-4</v>
      </c>
      <c r="L9" s="180"/>
      <c r="M9" s="180"/>
      <c r="N9" s="180"/>
      <c r="O9" s="181"/>
      <c r="P9" s="181"/>
      <c r="Q9" s="181"/>
    </row>
    <row r="10" spans="2:17" x14ac:dyDescent="0.3">
      <c r="B10" s="1" t="s">
        <v>35</v>
      </c>
      <c r="C10" s="1" t="s">
        <v>48</v>
      </c>
      <c r="D10" s="17">
        <f>'1.FinancialPosition'!C18/'1.FinancialPosition'!C35</f>
        <v>0.84186821648190535</v>
      </c>
      <c r="E10" s="17">
        <f>'1.FinancialPosition'!D18/'1.FinancialPosition'!D35</f>
        <v>0.79200171964004806</v>
      </c>
      <c r="F10" s="17">
        <f>'1.FinancialPosition'!E18/'1.FinancialPosition'!E35</f>
        <v>0.98314783704325914</v>
      </c>
      <c r="G10" s="17">
        <f>'1.FinancialPosition'!F18/'1.FinancialPosition'!F35</f>
        <v>0.9691063952649055</v>
      </c>
      <c r="H10" s="157">
        <f>'1.FinancialPosition'!G18/'1.FinancialPosition'!G35</f>
        <v>1.0399838104976142</v>
      </c>
      <c r="O10" s="181"/>
      <c r="P10" s="181"/>
      <c r="Q10" s="181"/>
    </row>
    <row r="11" spans="2:17" x14ac:dyDescent="0.3">
      <c r="B11" s="1" t="s">
        <v>36</v>
      </c>
      <c r="C11" s="1" t="s">
        <v>49</v>
      </c>
      <c r="D11" s="17">
        <f>('1.FinancialPosition'!C18-'1.FinancialPosition'!C12)/'1.FinancialPosition'!C35</f>
        <v>0.44979801069541281</v>
      </c>
      <c r="E11" s="17">
        <f>('1.FinancialPosition'!D18-'1.FinancialPosition'!D12)/'1.FinancialPosition'!D35</f>
        <v>0.41842946056064173</v>
      </c>
      <c r="F11" s="17">
        <f>('1.FinancialPosition'!E18-'1.FinancialPosition'!E12)/'1.FinancialPosition'!E35</f>
        <v>0.59940151196976066</v>
      </c>
      <c r="G11" s="17">
        <f>('1.FinancialPosition'!F18-'1.FinancialPosition'!F12)/'1.FinancialPosition'!F35</f>
        <v>0.52707761897887495</v>
      </c>
      <c r="H11" s="157">
        <f>('1.FinancialPosition'!G18-'1.FinancialPosition'!G12)/'1.FinancialPosition'!G35</f>
        <v>0.6216236366734833</v>
      </c>
      <c r="O11" s="181"/>
      <c r="P11" s="181"/>
      <c r="Q11" s="181"/>
    </row>
    <row r="12" spans="2:17" x14ac:dyDescent="0.3">
      <c r="B12" s="1" t="s">
        <v>42</v>
      </c>
      <c r="C12" s="1" t="s">
        <v>50</v>
      </c>
      <c r="D12" s="18">
        <f>'1.FinancialPosition'!C31/'1.FinancialPosition'!C26</f>
        <v>0.68862659949822258</v>
      </c>
      <c r="E12" s="18">
        <f>'1.FinancialPosition'!D31/'1.FinancialPosition'!D26</f>
        <v>0.63658313269354672</v>
      </c>
      <c r="F12" s="18">
        <f>'1.FinancialPosition'!E31/'1.FinancialPosition'!E26</f>
        <v>0.51731805173671508</v>
      </c>
      <c r="G12" s="18">
        <f>'1.FinancialPosition'!F31/'1.FinancialPosition'!F26</f>
        <v>0.39862855668847313</v>
      </c>
      <c r="H12" s="158">
        <f>'1.FinancialPosition'!G31/'1.FinancialPosition'!G26</f>
        <v>0.32865466101694918</v>
      </c>
      <c r="O12" s="181"/>
      <c r="P12" s="181"/>
      <c r="Q12" s="181"/>
    </row>
    <row r="13" spans="2:17" x14ac:dyDescent="0.3">
      <c r="B13" s="1" t="s">
        <v>43</v>
      </c>
      <c r="C13" s="1" t="s">
        <v>51</v>
      </c>
      <c r="D13" s="18">
        <f>'1.FinancialPosition'!C36/'1.FinancialPosition'!C37</f>
        <v>0.56826314104762554</v>
      </c>
      <c r="E13" s="18">
        <f>'1.FinancialPosition'!D36/'1.FinancialPosition'!D37</f>
        <v>0.57094802024134805</v>
      </c>
      <c r="F13" s="18">
        <f>'1.FinancialPosition'!E36/'1.FinancialPosition'!E37</f>
        <v>0.54240742583314339</v>
      </c>
      <c r="G13" s="18">
        <f>'1.FinancialPosition'!F36/'1.FinancialPosition'!F37</f>
        <v>0.53339529720928525</v>
      </c>
      <c r="H13" s="158">
        <f>'1.FinancialPosition'!G36/'1.FinancialPosition'!G37</f>
        <v>0.5001663583968059</v>
      </c>
      <c r="O13" s="181"/>
      <c r="P13" s="181"/>
      <c r="Q13" s="181"/>
    </row>
    <row r="14" spans="2:17" x14ac:dyDescent="0.3">
      <c r="B14" s="1" t="s">
        <v>95</v>
      </c>
      <c r="C14" s="1" t="s">
        <v>52</v>
      </c>
      <c r="D14" s="17">
        <f>'EBIT-EBITDA'!C7/'EBIT-EBITDA'!C6</f>
        <v>2.3382351778975932</v>
      </c>
      <c r="E14" s="17">
        <f>'EBIT-EBITDA'!D7/'EBIT-EBITDA'!D6</f>
        <v>0.85404915162324302</v>
      </c>
      <c r="F14" s="17">
        <f>'EBIT-EBITDA'!E7/'EBIT-EBITDA'!E6</f>
        <v>-0.71030268703407062</v>
      </c>
      <c r="G14" s="17">
        <f>'EBIT-EBITDA'!F7/'EBIT-EBITDA'!F6</f>
        <v>-0.1158878559194244</v>
      </c>
      <c r="H14" s="157">
        <f>'EBIT-EBITDA'!G7/'EBIT-EBITDA'!G6</f>
        <v>1.1028393767479934</v>
      </c>
      <c r="O14" s="181"/>
      <c r="P14" s="181"/>
      <c r="Q14" s="181"/>
    </row>
    <row r="15" spans="2:17" x14ac:dyDescent="0.3">
      <c r="B15" s="1" t="s">
        <v>37</v>
      </c>
      <c r="C15" s="1" t="s">
        <v>53</v>
      </c>
      <c r="D15" s="42">
        <f>(56686+'1.FinancialPosition'!C13)/2/D6*360</f>
        <v>64.753169701984859</v>
      </c>
      <c r="E15" s="42">
        <f>('1.FinancialPosition'!C13+'1.FinancialPosition'!D13)/2/E6*360</f>
        <v>46.674039443437209</v>
      </c>
      <c r="F15" s="42">
        <f>('1.FinancialPosition'!D13+'1.FinancialPosition'!E13)/2/F6*360</f>
        <v>46.057809932554214</v>
      </c>
      <c r="G15" s="42">
        <f>('1.FinancialPosition'!E13+'1.FinancialPosition'!F13)/2/G6*360</f>
        <v>46.725502012024549</v>
      </c>
      <c r="H15" s="159">
        <f>('1.FinancialPosition'!F13+'1.FinancialPosition'!G13)/2/H6*360</f>
        <v>49.257429541134066</v>
      </c>
      <c r="O15" s="181"/>
      <c r="P15" s="181"/>
      <c r="Q15" s="181"/>
    </row>
    <row r="16" spans="2:17" x14ac:dyDescent="0.3">
      <c r="B16" s="1" t="s">
        <v>38</v>
      </c>
      <c r="C16" s="1" t="s">
        <v>54</v>
      </c>
      <c r="D16" s="42">
        <f>(37807+'1.FinancialPosition'!C32)/2/D6*360</f>
        <v>53.321291106230916</v>
      </c>
      <c r="E16" s="42">
        <f>('1.FinancialPosition'!C32+'1.FinancialPosition'!D32)/2/E6*360</f>
        <v>50.959008485648312</v>
      </c>
      <c r="F16" s="42">
        <f>('1.FinancialPosition'!D32+'1.FinancialPosition'!E32)/2/F6*360</f>
        <v>50.551305457597948</v>
      </c>
      <c r="G16" s="42">
        <f>('1.FinancialPosition'!E32+'1.FinancialPosition'!F32)/2/G6*360</f>
        <v>50.36230515340128</v>
      </c>
      <c r="H16" s="159">
        <f>('1.FinancialPosition'!F32+'1.FinancialPosition'!G32)/2/H6*360</f>
        <v>47.965449726895166</v>
      </c>
      <c r="O16" s="181"/>
      <c r="P16" s="181"/>
      <c r="Q16" s="181"/>
    </row>
    <row r="17" spans="2:17" x14ac:dyDescent="0.3">
      <c r="B17" s="1" t="s">
        <v>39</v>
      </c>
      <c r="C17" s="1" t="s">
        <v>55</v>
      </c>
      <c r="D17" s="16">
        <f>'2.Comprehensive income'!C18/'1.FinancialPosition'!C19</f>
        <v>9.3913620047099706E-3</v>
      </c>
      <c r="E17" s="16">
        <f>'2.Comprehensive income'!D18/'1.FinancialPosition'!D19</f>
        <v>-4.5540123322071972E-3</v>
      </c>
      <c r="F17" s="16">
        <f>'2.Comprehensive income'!E18/'1.FinancialPosition'!E19</f>
        <v>-1.3214105744942403E-2</v>
      </c>
      <c r="G17" s="16">
        <f>'2.Comprehensive income'!F18/'1.FinancialPosition'!F19</f>
        <v>-8.7496113327025504E-3</v>
      </c>
      <c r="H17" s="156">
        <f>'2.Comprehensive income'!G18/'1.FinancialPosition'!G19</f>
        <v>-3.0051839423004683E-4</v>
      </c>
      <c r="O17" s="181"/>
      <c r="P17" s="181"/>
      <c r="Q17" s="181"/>
    </row>
    <row r="18" spans="2:17" x14ac:dyDescent="0.3">
      <c r="B18" s="1" t="s">
        <v>40</v>
      </c>
      <c r="C18" s="1" t="s">
        <v>56</v>
      </c>
      <c r="D18" s="16">
        <f>'2.Comprehensive income'!C18/'1.FinancialPosition'!C26</f>
        <v>2.1752513851836651E-2</v>
      </c>
      <c r="E18" s="16">
        <f>'2.Comprehensive income'!D18/'1.FinancialPosition'!D26</f>
        <v>-1.061412730170572E-2</v>
      </c>
      <c r="F18" s="16">
        <f>'2.Comprehensive income'!E18/'1.FinancialPosition'!E26</f>
        <v>-2.8877447954660233E-2</v>
      </c>
      <c r="G18" s="16">
        <f>'2.Comprehensive income'!F18/'1.FinancialPosition'!F26</f>
        <v>-1.8751656981534956E-2</v>
      </c>
      <c r="H18" s="156">
        <f>'2.Comprehensive income'!G18/'1.FinancialPosition'!G26</f>
        <v>-6.0123683005038943E-4</v>
      </c>
      <c r="O18" s="181"/>
      <c r="P18" s="181"/>
      <c r="Q18" s="181"/>
    </row>
    <row r="19" spans="2:17" x14ac:dyDescent="0.3">
      <c r="B19" s="1" t="s">
        <v>41</v>
      </c>
      <c r="C19" s="1" t="s">
        <v>57</v>
      </c>
      <c r="D19" s="16">
        <f>'2.Comprehensive income'!C18/D6</f>
        <v>1.3679555244438417E-2</v>
      </c>
      <c r="E19" s="16">
        <f>'2.Comprehensive income'!D18/E6</f>
        <v>-6.1518205554274771E-3</v>
      </c>
      <c r="F19" s="16">
        <f>'2.Comprehensive income'!E18/F6</f>
        <v>-1.5833650932577617E-2</v>
      </c>
      <c r="G19" s="16">
        <f>'2.Comprehensive income'!F18/G6</f>
        <v>-1.0522403339947943E-2</v>
      </c>
      <c r="H19" s="156">
        <f>'2.Comprehensive income'!G18/H6</f>
        <v>-3.2625752884820643E-4</v>
      </c>
      <c r="O19" s="181"/>
      <c r="P19" s="181"/>
      <c r="Q19" s="181"/>
    </row>
    <row r="21" spans="2:17" x14ac:dyDescent="0.3">
      <c r="B21" s="7" t="s">
        <v>26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9D49E-853A-49F6-AD4D-C89CC2595DE3}">
  <dimension ref="B1:U39"/>
  <sheetViews>
    <sheetView zoomScale="90" zoomScaleNormal="90" workbookViewId="0">
      <selection activeCell="N42" sqref="N42"/>
    </sheetView>
  </sheetViews>
  <sheetFormatPr defaultColWidth="9.109375" defaultRowHeight="14.4" x14ac:dyDescent="0.3"/>
  <cols>
    <col min="1" max="1" width="5.6640625" style="161" customWidth="1"/>
    <col min="2" max="6" width="9.109375" style="161"/>
    <col min="7" max="7" width="15.6640625" style="161" customWidth="1"/>
    <col min="8" max="8" width="9.109375" style="161"/>
    <col min="9" max="9" width="1.109375" style="161" customWidth="1"/>
    <col min="10" max="16" width="9.109375" style="161"/>
    <col min="17" max="17" width="3.6640625" style="161" customWidth="1"/>
    <col min="18" max="16384" width="9.109375" style="161"/>
  </cols>
  <sheetData>
    <row r="1" spans="2:20" ht="8.25" customHeight="1" x14ac:dyDescent="0.3"/>
    <row r="2" spans="2:20" x14ac:dyDescent="0.3">
      <c r="B2" s="234" t="s">
        <v>249</v>
      </c>
      <c r="C2" s="234"/>
      <c r="D2" s="234"/>
      <c r="E2" s="234"/>
      <c r="F2" s="235" t="s">
        <v>4</v>
      </c>
      <c r="G2" s="235"/>
      <c r="H2" s="162"/>
      <c r="I2" s="162"/>
      <c r="J2" s="234" t="s">
        <v>248</v>
      </c>
      <c r="K2" s="234"/>
      <c r="L2" s="234"/>
      <c r="M2" s="234"/>
      <c r="N2" s="235" t="s">
        <v>106</v>
      </c>
      <c r="O2" s="235"/>
      <c r="P2" s="162"/>
      <c r="Q2" s="162"/>
      <c r="R2" s="234" t="s">
        <v>251</v>
      </c>
      <c r="S2" s="234"/>
      <c r="T2" s="160">
        <v>2020</v>
      </c>
    </row>
    <row r="3" spans="2:20" x14ac:dyDescent="0.3">
      <c r="B3" s="234" t="s">
        <v>250</v>
      </c>
      <c r="C3" s="234"/>
      <c r="D3" s="234"/>
      <c r="E3" s="234"/>
      <c r="F3" s="235" t="s">
        <v>14</v>
      </c>
      <c r="G3" s="235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</row>
    <row r="4" spans="2:20" ht="5.25" customHeight="1" x14ac:dyDescent="0.3"/>
    <row r="19" spans="2:21" ht="9" customHeight="1" x14ac:dyDescent="0.3"/>
    <row r="20" spans="2:21" s="163" customFormat="1" ht="15.6" x14ac:dyDescent="0.3">
      <c r="B20" s="236" t="s">
        <v>252</v>
      </c>
      <c r="C20" s="236"/>
      <c r="D20" s="236"/>
      <c r="E20" s="236"/>
      <c r="F20" s="235" t="s">
        <v>87</v>
      </c>
      <c r="G20" s="235"/>
      <c r="H20" s="235"/>
      <c r="O20" s="236" t="s">
        <v>252</v>
      </c>
      <c r="P20" s="236"/>
      <c r="Q20" s="236"/>
      <c r="R20" s="236"/>
      <c r="S20" s="233" t="s">
        <v>4</v>
      </c>
      <c r="T20" s="233"/>
      <c r="U20" s="233"/>
    </row>
    <row r="21" spans="2:21" ht="16.5" customHeight="1" x14ac:dyDescent="0.3">
      <c r="B21" s="236" t="s">
        <v>253</v>
      </c>
      <c r="C21" s="236"/>
      <c r="D21" s="236"/>
      <c r="E21" s="236"/>
      <c r="F21" s="235">
        <v>2020</v>
      </c>
      <c r="G21" s="235"/>
      <c r="H21" s="235"/>
    </row>
    <row r="39" spans="2:2" x14ac:dyDescent="0.3">
      <c r="B39" s="161" t="s">
        <v>26</v>
      </c>
    </row>
  </sheetData>
  <mergeCells count="13">
    <mergeCell ref="B21:E21"/>
    <mergeCell ref="F21:H21"/>
    <mergeCell ref="B20:E20"/>
    <mergeCell ref="F20:H20"/>
    <mergeCell ref="O20:R20"/>
    <mergeCell ref="S20:U20"/>
    <mergeCell ref="R2:S2"/>
    <mergeCell ref="B2:E2"/>
    <mergeCell ref="B3:E3"/>
    <mergeCell ref="F2:G2"/>
    <mergeCell ref="F3:G3"/>
    <mergeCell ref="J2:M2"/>
    <mergeCell ref="N2:O2"/>
  </mergeCells>
  <dataValidations count="4">
    <dataValidation type="list" allowBlank="1" showInputMessage="1" showErrorMessage="1" sqref="F2:G3 S20:U20" xr:uid="{3E6CC772-2AAB-4AD0-A3D6-39532E581268}">
      <formula1>List1</formula1>
    </dataValidation>
    <dataValidation type="list" allowBlank="1" showInputMessage="1" showErrorMessage="1" sqref="N2:O2" xr:uid="{3D62F296-CEC4-4A85-A2D7-B4EEB2B274B5}">
      <formula1>List2</formula1>
    </dataValidation>
    <dataValidation type="list" allowBlank="1" showInputMessage="1" showErrorMessage="1" sqref="F20" xr:uid="{EBC18753-CD2B-4717-AE19-6F1D8CEF1D72}">
      <formula1>List3</formula1>
    </dataValidation>
    <dataValidation type="list" allowBlank="1" showInputMessage="1" showErrorMessage="1" sqref="F21:H21 T2" xr:uid="{AF1FBAF8-636F-4C22-A37A-0B2616ADA029}">
      <formula1>"2020,2019,2018,2017,2016"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Contents</vt:lpstr>
      <vt:lpstr>hiddenPage</vt:lpstr>
      <vt:lpstr>Snapshots</vt:lpstr>
      <vt:lpstr>Group</vt:lpstr>
      <vt:lpstr>1.FinancialPosition</vt:lpstr>
      <vt:lpstr>2.Comprehensive income</vt:lpstr>
      <vt:lpstr>3.Statement of cash flow</vt:lpstr>
      <vt:lpstr>4.Financial ratios</vt:lpstr>
      <vt:lpstr>Charts</vt:lpstr>
      <vt:lpstr>EBIT-EBITDA</vt:lpstr>
      <vt:lpstr>List1</vt:lpstr>
      <vt:lpstr>List2</vt:lpstr>
      <vt:lpstr>List3</vt:lpstr>
      <vt:lpstr>Selection1</vt:lpstr>
      <vt:lpstr>Selection2</vt:lpstr>
      <vt:lpstr>Selection3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2021-04-29T12:42:57Z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b21d21-9938-4ab8-bb7d-321daa53b3ce_Enabled">
    <vt:lpwstr>True</vt:lpwstr>
  </property>
  <property fmtid="{D5CDD505-2E9C-101B-9397-08002B2CF9AE}" pid="3" name="MSIP_Label_beb21d21-9938-4ab8-bb7d-321daa53b3ce_SiteId">
    <vt:lpwstr>da7cd86b-2037-41c5-9ffe-1c010686ff18</vt:lpwstr>
  </property>
  <property fmtid="{D5CDD505-2E9C-101B-9397-08002B2CF9AE}" pid="4" name="MSIP_Label_beb21d21-9938-4ab8-bb7d-321daa53b3ce_Owner">
    <vt:lpwstr>adrian.coman@romcarbon.com</vt:lpwstr>
  </property>
  <property fmtid="{D5CDD505-2E9C-101B-9397-08002B2CF9AE}" pid="5" name="MSIP_Label_beb21d21-9938-4ab8-bb7d-321daa53b3ce_SetDate">
    <vt:lpwstr>2020-04-03T07:36:18.7807258Z</vt:lpwstr>
  </property>
  <property fmtid="{D5CDD505-2E9C-101B-9397-08002B2CF9AE}" pid="6" name="MSIP_Label_beb21d21-9938-4ab8-bb7d-321daa53b3ce_Name">
    <vt:lpwstr>General</vt:lpwstr>
  </property>
  <property fmtid="{D5CDD505-2E9C-101B-9397-08002B2CF9AE}" pid="7" name="MSIP_Label_beb21d21-9938-4ab8-bb7d-321daa53b3ce_Application">
    <vt:lpwstr>Microsoft Azure Information Protection</vt:lpwstr>
  </property>
  <property fmtid="{D5CDD505-2E9C-101B-9397-08002B2CF9AE}" pid="8" name="MSIP_Label_beb21d21-9938-4ab8-bb7d-321daa53b3ce_ActionId">
    <vt:lpwstr>db2b7749-c445-4b9c-8541-fb28fda4d37b</vt:lpwstr>
  </property>
  <property fmtid="{D5CDD505-2E9C-101B-9397-08002B2CF9AE}" pid="9" name="MSIP_Label_beb21d21-9938-4ab8-bb7d-321daa53b3ce_Extended_MSFT_Method">
    <vt:lpwstr>Automatic</vt:lpwstr>
  </property>
  <property fmtid="{D5CDD505-2E9C-101B-9397-08002B2CF9AE}" pid="10" name="Sensitivity">
    <vt:lpwstr>General</vt:lpwstr>
  </property>
</Properties>
</file>