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/>
  <xr:revisionPtr revIDLastSave="211" documentId="8_{17CFE2C4-482F-4FD1-9A44-6095B694E941}" xr6:coauthVersionLast="47" xr6:coauthVersionMax="47" xr10:uidLastSave="{745621C2-F7A0-4F24-B684-783D36FA8721}"/>
  <bookViews>
    <workbookView xWindow="-108" yWindow="-108" windowWidth="23256" windowHeight="12576" tabRatio="837" xr2:uid="{00000000-000D-0000-FFFF-FFFF00000000}"/>
  </bookViews>
  <sheets>
    <sheet name="Cuprins" sheetId="6" r:id="rId1"/>
    <sheet name="Snapshots" sheetId="8" r:id="rId2"/>
    <sheet name="1.Pozitia Financiara" sheetId="1" r:id="rId3"/>
    <sheet name="hiddenPage" sheetId="10" state="hidden" r:id="rId4"/>
    <sheet name="2.Pozitia Financiara-Comparatii" sheetId="15" r:id="rId5"/>
    <sheet name="3.Sit.Rezultatului Global" sheetId="2" r:id="rId6"/>
    <sheet name="4.Indicatori Financiari" sheetId="3" r:id="rId7"/>
    <sheet name="Grafice" sheetId="9" r:id="rId8"/>
    <sheet name="EBIT-EBITDA" sheetId="5" r:id="rId9"/>
    <sheet name="Data_Interim" sheetId="11" state="hidden" r:id="rId10"/>
    <sheet name="Data_Annual_BS" sheetId="14" state="hidden" r:id="rId11"/>
  </sheets>
  <definedNames>
    <definedName name="_xlnm._FilterDatabase" localSheetId="10" hidden="1">Data_Annual_BS!$A$3:$D$207</definedName>
    <definedName name="_xlnm._FilterDatabase" localSheetId="9" hidden="1">Data_Interim!$A$3:$Y$229</definedName>
    <definedName name="Area">INDEX(hiddenPage!XEW1048572:XEW1,MATCH(hiddenPage!B1048571,hiddenPage!XFD1048572:XFD1,0)):INDEX(hiddenPage!XEW1048572:XEW1,MATCH(hiddenPage!B1048572,hiddenPage!XFD1048572:XFD1,0))</definedName>
    <definedName name="Data">IF(hiddenPage!#REF!=4,Selection3,IF(hiddenPage!#REF!=5,Selection2,Selection1))</definedName>
    <definedName name="List1">hiddenPage!$M$3:$M$12</definedName>
    <definedName name="List2">hiddenPage!$O$3:$O$6</definedName>
    <definedName name="List3">hiddenPage!$Y$3:$Y$7</definedName>
    <definedName name="List5">hiddenPage!$L$3:$L$7</definedName>
    <definedName name="Selection1">hiddenPage!#REF!</definedName>
    <definedName name="Selection2">hiddenPage!#REF!</definedName>
    <definedName name="Selection3">hiddenPage!#REF!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8" l="1"/>
  <c r="I11" i="8" s="1"/>
  <c r="F11" i="8"/>
  <c r="E11" i="8"/>
  <c r="D11" i="8"/>
  <c r="C11" i="8"/>
  <c r="G7" i="8"/>
  <c r="I7" i="8" s="1"/>
  <c r="F7" i="8"/>
  <c r="E7" i="8"/>
  <c r="D7" i="8"/>
  <c r="C7" i="8"/>
  <c r="B1" i="3"/>
  <c r="A13" i="10"/>
  <c r="H11" i="8" l="1"/>
  <c r="J11" i="8"/>
  <c r="H7" i="8"/>
  <c r="H8" i="6"/>
  <c r="G9" i="8"/>
  <c r="F9" i="8"/>
  <c r="E9" i="8"/>
  <c r="D9" i="8"/>
  <c r="C9" i="8"/>
  <c r="AB25" i="10"/>
  <c r="AB26" i="10" s="1"/>
  <c r="AB27" i="10" s="1"/>
  <c r="B26" i="1"/>
  <c r="D7" i="10"/>
  <c r="G24" i="2"/>
  <c r="J24" i="2" s="1"/>
  <c r="F24" i="2"/>
  <c r="E24" i="2"/>
  <c r="D24" i="2"/>
  <c r="C24" i="2"/>
  <c r="G22" i="2"/>
  <c r="F22" i="2"/>
  <c r="E22" i="2"/>
  <c r="D22" i="2"/>
  <c r="C22" i="2"/>
  <c r="G20" i="2"/>
  <c r="F20" i="2"/>
  <c r="E20" i="2"/>
  <c r="D20" i="2"/>
  <c r="C20" i="2"/>
  <c r="G19" i="2"/>
  <c r="F19" i="2"/>
  <c r="F21" i="2" s="1"/>
  <c r="E19" i="2"/>
  <c r="D19" i="2"/>
  <c r="C19" i="2"/>
  <c r="J14" i="1"/>
  <c r="L12" i="11"/>
  <c r="F26" i="1"/>
  <c r="E26" i="1"/>
  <c r="D26" i="1"/>
  <c r="C26" i="1"/>
  <c r="F24" i="1"/>
  <c r="E24" i="1"/>
  <c r="D24" i="1"/>
  <c r="C24" i="1"/>
  <c r="F25" i="1"/>
  <c r="J25" i="1" s="1"/>
  <c r="E25" i="1"/>
  <c r="D25" i="1"/>
  <c r="C25" i="1"/>
  <c r="B25" i="1"/>
  <c r="F23" i="1"/>
  <c r="J23" i="1" s="1"/>
  <c r="E23" i="1"/>
  <c r="D23" i="1"/>
  <c r="C23" i="1"/>
  <c r="B23" i="1"/>
  <c r="F22" i="1"/>
  <c r="J22" i="1" s="1"/>
  <c r="E22" i="1"/>
  <c r="D22" i="1"/>
  <c r="C22" i="1"/>
  <c r="B22" i="1"/>
  <c r="F21" i="1"/>
  <c r="J21" i="1" s="1"/>
  <c r="E21" i="1"/>
  <c r="D21" i="1"/>
  <c r="C21" i="1"/>
  <c r="B21" i="1"/>
  <c r="F10" i="1"/>
  <c r="J10" i="1" s="1"/>
  <c r="E10" i="1"/>
  <c r="D10" i="1"/>
  <c r="C10" i="1"/>
  <c r="B10" i="1"/>
  <c r="F9" i="1"/>
  <c r="E9" i="1"/>
  <c r="D9" i="1"/>
  <c r="C9" i="1"/>
  <c r="B9" i="1"/>
  <c r="F8" i="1"/>
  <c r="J8" i="1" s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  <c r="F5" i="1"/>
  <c r="E5" i="1"/>
  <c r="D5" i="1"/>
  <c r="C5" i="1"/>
  <c r="B5" i="1"/>
  <c r="B4" i="1"/>
  <c r="B12" i="1"/>
  <c r="B13" i="1"/>
  <c r="B14" i="1"/>
  <c r="B15" i="1"/>
  <c r="B16" i="1"/>
  <c r="B17" i="1"/>
  <c r="B20" i="1"/>
  <c r="B24" i="1" s="1"/>
  <c r="B27" i="1"/>
  <c r="B28" i="1"/>
  <c r="B29" i="1"/>
  <c r="B30" i="1"/>
  <c r="B32" i="1"/>
  <c r="B33" i="1"/>
  <c r="B34" i="1"/>
  <c r="C4" i="1"/>
  <c r="C27" i="15"/>
  <c r="P28" i="15"/>
  <c r="I28" i="15"/>
  <c r="B28" i="15"/>
  <c r="P26" i="15"/>
  <c r="I26" i="15"/>
  <c r="B26" i="15"/>
  <c r="Q25" i="15"/>
  <c r="S25" i="15" s="1"/>
  <c r="P25" i="15"/>
  <c r="J25" i="15"/>
  <c r="L25" i="15" s="1"/>
  <c r="I25" i="15"/>
  <c r="C25" i="15"/>
  <c r="F25" i="15" s="1"/>
  <c r="B25" i="15"/>
  <c r="Q12" i="15"/>
  <c r="P12" i="15"/>
  <c r="J12" i="15"/>
  <c r="I12" i="15"/>
  <c r="C12" i="15"/>
  <c r="B12" i="15"/>
  <c r="Q11" i="15"/>
  <c r="P11" i="15"/>
  <c r="J11" i="15"/>
  <c r="I11" i="15"/>
  <c r="C11" i="15"/>
  <c r="B11" i="15"/>
  <c r="Q10" i="15"/>
  <c r="P10" i="15"/>
  <c r="J10" i="15"/>
  <c r="I10" i="15"/>
  <c r="C10" i="15"/>
  <c r="B10" i="15"/>
  <c r="Q9" i="15"/>
  <c r="P9" i="15"/>
  <c r="J9" i="15"/>
  <c r="I9" i="15"/>
  <c r="C9" i="15"/>
  <c r="B9" i="15"/>
  <c r="Q8" i="15"/>
  <c r="P8" i="15"/>
  <c r="J8" i="15"/>
  <c r="I8" i="15"/>
  <c r="C8" i="15"/>
  <c r="B8" i="15"/>
  <c r="Q7" i="15"/>
  <c r="P7" i="15"/>
  <c r="J7" i="15"/>
  <c r="I7" i="15"/>
  <c r="C7" i="15"/>
  <c r="B7" i="15"/>
  <c r="D21" i="2" l="1"/>
  <c r="D23" i="2" s="1"/>
  <c r="J22" i="2"/>
  <c r="E21" i="2"/>
  <c r="E23" i="2" s="1"/>
  <c r="C21" i="2"/>
  <c r="C23" i="2" s="1"/>
  <c r="F23" i="2"/>
  <c r="J19" i="2"/>
  <c r="G21" i="2"/>
  <c r="G23" i="2" s="1"/>
  <c r="J23" i="2" s="1"/>
  <c r="J20" i="2"/>
  <c r="H19" i="2"/>
  <c r="H20" i="2"/>
  <c r="H22" i="2"/>
  <c r="H24" i="2"/>
  <c r="I19" i="2"/>
  <c r="I20" i="2"/>
  <c r="I22" i="2"/>
  <c r="I24" i="2"/>
  <c r="G25" i="1"/>
  <c r="H25" i="1"/>
  <c r="I25" i="1"/>
  <c r="G21" i="1"/>
  <c r="H21" i="1"/>
  <c r="G22" i="1"/>
  <c r="I21" i="1"/>
  <c r="H22" i="1"/>
  <c r="G23" i="1"/>
  <c r="I22" i="1"/>
  <c r="H23" i="1"/>
  <c r="I23" i="1"/>
  <c r="J7" i="1"/>
  <c r="J9" i="1"/>
  <c r="H5" i="1"/>
  <c r="I5" i="1"/>
  <c r="H6" i="1"/>
  <c r="J5" i="1"/>
  <c r="I6" i="1"/>
  <c r="H7" i="1"/>
  <c r="J6" i="1"/>
  <c r="I7" i="1"/>
  <c r="H8" i="1"/>
  <c r="I8" i="1"/>
  <c r="H9" i="1"/>
  <c r="I9" i="1"/>
  <c r="H10" i="1"/>
  <c r="I10" i="1"/>
  <c r="B11" i="1"/>
  <c r="B31" i="1"/>
  <c r="B18" i="1"/>
  <c r="B35" i="1"/>
  <c r="M10" i="15"/>
  <c r="S11" i="15"/>
  <c r="T25" i="15"/>
  <c r="K25" i="15"/>
  <c r="M25" i="15"/>
  <c r="D25" i="15"/>
  <c r="E25" i="15"/>
  <c r="R25" i="15"/>
  <c r="R9" i="15"/>
  <c r="E8" i="15"/>
  <c r="K9" i="15"/>
  <c r="R10" i="15"/>
  <c r="D12" i="15"/>
  <c r="T7" i="15"/>
  <c r="E9" i="15"/>
  <c r="K12" i="15"/>
  <c r="M7" i="15"/>
  <c r="T12" i="15"/>
  <c r="M9" i="15"/>
  <c r="L9" i="15"/>
  <c r="D7" i="15"/>
  <c r="M8" i="15"/>
  <c r="F8" i="15"/>
  <c r="F12" i="15"/>
  <c r="S10" i="15"/>
  <c r="D8" i="15"/>
  <c r="F10" i="15"/>
  <c r="F11" i="15"/>
  <c r="M11" i="15"/>
  <c r="M12" i="15"/>
  <c r="L7" i="15"/>
  <c r="T10" i="15"/>
  <c r="T8" i="15"/>
  <c r="T9" i="15"/>
  <c r="T11" i="15"/>
  <c r="S12" i="15"/>
  <c r="E7" i="15"/>
  <c r="R8" i="15"/>
  <c r="S9" i="15"/>
  <c r="K11" i="15"/>
  <c r="L12" i="15"/>
  <c r="F7" i="15"/>
  <c r="R7" i="15"/>
  <c r="S8" i="15"/>
  <c r="K10" i="15"/>
  <c r="L11" i="15"/>
  <c r="L10" i="15"/>
  <c r="D11" i="15"/>
  <c r="E12" i="15"/>
  <c r="F9" i="15"/>
  <c r="S7" i="15"/>
  <c r="K8" i="15"/>
  <c r="K7" i="15"/>
  <c r="L8" i="15"/>
  <c r="D10" i="15"/>
  <c r="E11" i="15"/>
  <c r="R12" i="15"/>
  <c r="D9" i="15"/>
  <c r="E10" i="15"/>
  <c r="R11" i="15"/>
  <c r="F21" i="9"/>
  <c r="I23" i="2" l="1"/>
  <c r="H21" i="2"/>
  <c r="H23" i="2"/>
  <c r="I21" i="2"/>
  <c r="J21" i="2"/>
  <c r="B36" i="1"/>
  <c r="B37" i="1" s="1"/>
  <c r="B19" i="1"/>
  <c r="B39" i="1" l="1"/>
  <c r="D50" i="10"/>
  <c r="D49" i="10" l="1"/>
  <c r="G50" i="10" l="1"/>
  <c r="G49" i="10" s="1"/>
  <c r="F50" i="10"/>
  <c r="F49" i="10" s="1"/>
  <c r="E50" i="10"/>
  <c r="E49" i="10" s="1"/>
  <c r="A12" i="10" l="1"/>
  <c r="AE22" i="10" l="1"/>
  <c r="AE23" i="10"/>
  <c r="AE24" i="10"/>
  <c r="AE25" i="10"/>
  <c r="AE26" i="10"/>
  <c r="AE27" i="10"/>
  <c r="AE28" i="10"/>
  <c r="AE21" i="10"/>
  <c r="I9" i="10" l="1"/>
  <c r="A4" i="10" l="1"/>
  <c r="AE7" i="10" l="1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C48" i="2" l="1"/>
  <c r="AE3" i="10"/>
  <c r="C17" i="2" l="1"/>
  <c r="H9" i="8"/>
  <c r="I9" i="8"/>
  <c r="J9" i="8"/>
  <c r="F5" i="2"/>
  <c r="L30" i="2"/>
  <c r="L47" i="2"/>
  <c r="G5" i="2"/>
  <c r="C3" i="3"/>
  <c r="A25" i="10"/>
  <c r="C3" i="5"/>
  <c r="D3" i="10"/>
  <c r="C4" i="8"/>
  <c r="C40" i="2"/>
  <c r="G41" i="2" l="1"/>
  <c r="C41" i="2"/>
  <c r="G42" i="2"/>
  <c r="E41" i="2"/>
  <c r="E42" i="2"/>
  <c r="C32" i="1"/>
  <c r="C42" i="2"/>
  <c r="D42" i="2"/>
  <c r="D41" i="2"/>
  <c r="F41" i="2"/>
  <c r="F42" i="2"/>
  <c r="Q6" i="15"/>
  <c r="C49" i="2"/>
  <c r="C5" i="2"/>
  <c r="E35" i="2"/>
  <c r="M47" i="2"/>
  <c r="M30" i="2"/>
  <c r="C15" i="2"/>
  <c r="E15" i="2"/>
  <c r="E6" i="2"/>
  <c r="E32" i="2"/>
  <c r="E10" i="2"/>
  <c r="E13" i="2"/>
  <c r="F7" i="2"/>
  <c r="G35" i="2"/>
  <c r="C14" i="1"/>
  <c r="C10" i="2"/>
  <c r="G34" i="2"/>
  <c r="G11" i="2"/>
  <c r="F31" i="2"/>
  <c r="C7" i="2"/>
  <c r="C30" i="1"/>
  <c r="E9" i="2"/>
  <c r="D34" i="2"/>
  <c r="D4" i="1"/>
  <c r="D33" i="2"/>
  <c r="C34" i="1"/>
  <c r="C17" i="1"/>
  <c r="F15" i="2"/>
  <c r="F9" i="2"/>
  <c r="G15" i="2"/>
  <c r="D25" i="2"/>
  <c r="F11" i="2"/>
  <c r="F10" i="2"/>
  <c r="C34" i="2"/>
  <c r="F6" i="2"/>
  <c r="D35" i="2"/>
  <c r="D11" i="2"/>
  <c r="G31" i="2"/>
  <c r="F6" i="5"/>
  <c r="G9" i="2"/>
  <c r="E7" i="2"/>
  <c r="F30" i="1"/>
  <c r="C6" i="2"/>
  <c r="F25" i="2"/>
  <c r="C16" i="1"/>
  <c r="G13" i="2"/>
  <c r="G33" i="2"/>
  <c r="D9" i="2"/>
  <c r="G6" i="5"/>
  <c r="E34" i="2"/>
  <c r="C9" i="5"/>
  <c r="F34" i="2"/>
  <c r="E30" i="1"/>
  <c r="C8" i="2"/>
  <c r="D5" i="2"/>
  <c r="D14" i="2"/>
  <c r="C32" i="2"/>
  <c r="F13" i="2"/>
  <c r="F32" i="2"/>
  <c r="D13" i="2"/>
  <c r="C9" i="2"/>
  <c r="D30" i="1"/>
  <c r="G7" i="2"/>
  <c r="G6" i="2"/>
  <c r="F33" i="2"/>
  <c r="C27" i="1"/>
  <c r="C13" i="2"/>
  <c r="G25" i="2"/>
  <c r="J25" i="2" s="1"/>
  <c r="C15" i="1"/>
  <c r="D10" i="2"/>
  <c r="E14" i="2"/>
  <c r="C31" i="2"/>
  <c r="E11" i="2"/>
  <c r="D15" i="2"/>
  <c r="E25" i="2"/>
  <c r="C14" i="2"/>
  <c r="G14" i="2"/>
  <c r="E31" i="2"/>
  <c r="C12" i="1"/>
  <c r="C29" i="1"/>
  <c r="D7" i="2"/>
  <c r="D32" i="2"/>
  <c r="G32" i="2"/>
  <c r="C16" i="15"/>
  <c r="D14" i="1"/>
  <c r="Q23" i="15"/>
  <c r="C32" i="15"/>
  <c r="E34" i="1"/>
  <c r="J36" i="15"/>
  <c r="D6" i="2"/>
  <c r="J17" i="15"/>
  <c r="E15" i="1"/>
  <c r="C30" i="15"/>
  <c r="D28" i="1"/>
  <c r="J6" i="15"/>
  <c r="E4" i="1"/>
  <c r="F17" i="2"/>
  <c r="F5" i="5" s="1"/>
  <c r="E33" i="1"/>
  <c r="J35" i="15"/>
  <c r="E48" i="2"/>
  <c r="E4" i="2"/>
  <c r="Q18" i="15"/>
  <c r="F16" i="1"/>
  <c r="Q34" i="15"/>
  <c r="F32" i="1"/>
  <c r="C25" i="2"/>
  <c r="E49" i="2"/>
  <c r="G49" i="2"/>
  <c r="C20" i="1"/>
  <c r="J22" i="15"/>
  <c r="E20" i="1"/>
  <c r="E8" i="2"/>
  <c r="C6" i="15"/>
  <c r="D15" i="1"/>
  <c r="C17" i="15"/>
  <c r="Q24" i="15"/>
  <c r="E17" i="2"/>
  <c r="E5" i="5" s="1"/>
  <c r="C28" i="1"/>
  <c r="J16" i="15"/>
  <c r="E14" i="1"/>
  <c r="D27" i="1"/>
  <c r="C29" i="15"/>
  <c r="J32" i="15"/>
  <c r="Q36" i="15"/>
  <c r="F34" i="1"/>
  <c r="Q16" i="15"/>
  <c r="F14" i="1"/>
  <c r="C23" i="15"/>
  <c r="Q29" i="15"/>
  <c r="F27" i="1"/>
  <c r="Q32" i="15"/>
  <c r="E5" i="2"/>
  <c r="Q17" i="15"/>
  <c r="F15" i="1"/>
  <c r="C24" i="15"/>
  <c r="J30" i="15"/>
  <c r="E28" i="1"/>
  <c r="G10" i="2"/>
  <c r="D17" i="2"/>
  <c r="D5" i="5" s="1"/>
  <c r="G17" i="2"/>
  <c r="G5" i="5" s="1"/>
  <c r="F4" i="1"/>
  <c r="F35" i="2"/>
  <c r="C19" i="15"/>
  <c r="D17" i="1"/>
  <c r="C33" i="1"/>
  <c r="F33" i="1"/>
  <c r="Q35" i="15"/>
  <c r="F48" i="2"/>
  <c r="F4" i="2"/>
  <c r="E33" i="2"/>
  <c r="C14" i="15"/>
  <c r="D12" i="1"/>
  <c r="C18" i="15"/>
  <c r="D16" i="1"/>
  <c r="J27" i="15"/>
  <c r="C31" i="15"/>
  <c r="D29" i="1"/>
  <c r="C34" i="15"/>
  <c r="D32" i="1"/>
  <c r="D49" i="2"/>
  <c r="C15" i="15"/>
  <c r="D13" i="1"/>
  <c r="G8" i="2"/>
  <c r="J23" i="15"/>
  <c r="J29" i="15"/>
  <c r="E27" i="1"/>
  <c r="C36" i="15"/>
  <c r="D34" i="1"/>
  <c r="J24" i="15"/>
  <c r="Q30" i="15"/>
  <c r="F28" i="1"/>
  <c r="C5" i="5"/>
  <c r="F14" i="2"/>
  <c r="D31" i="2"/>
  <c r="C35" i="2"/>
  <c r="E17" i="1"/>
  <c r="J19" i="15"/>
  <c r="D48" i="2"/>
  <c r="D4" i="2"/>
  <c r="G48" i="2"/>
  <c r="G4" i="2"/>
  <c r="C33" i="2"/>
  <c r="C8" i="5"/>
  <c r="J14" i="15"/>
  <c r="E12" i="1"/>
  <c r="Q27" i="15"/>
  <c r="E29" i="1"/>
  <c r="J31" i="15"/>
  <c r="C11" i="2"/>
  <c r="F13" i="1"/>
  <c r="Q15" i="15"/>
  <c r="Q22" i="15"/>
  <c r="F20" i="1"/>
  <c r="D8" i="2"/>
  <c r="F8" i="2"/>
  <c r="F17" i="1"/>
  <c r="Q19" i="15"/>
  <c r="D33" i="1"/>
  <c r="C35" i="15"/>
  <c r="C4" i="2"/>
  <c r="Q14" i="15"/>
  <c r="F12" i="1"/>
  <c r="J18" i="15"/>
  <c r="E16" i="1"/>
  <c r="F29" i="1"/>
  <c r="Q31" i="15"/>
  <c r="J34" i="15"/>
  <c r="E32" i="1"/>
  <c r="F49" i="2"/>
  <c r="C13" i="1"/>
  <c r="E13" i="1"/>
  <c r="J15" i="15"/>
  <c r="D20" i="1"/>
  <c r="C22" i="15"/>
  <c r="E9" i="5"/>
  <c r="C6" i="5"/>
  <c r="G9" i="5"/>
  <c r="E8" i="5"/>
  <c r="D9" i="5"/>
  <c r="E6" i="5"/>
  <c r="D9" i="10"/>
  <c r="D15" i="10"/>
  <c r="D14" i="10" s="1"/>
  <c r="F9" i="5"/>
  <c r="D8" i="5"/>
  <c r="D6" i="5"/>
  <c r="F8" i="5"/>
  <c r="G8" i="5"/>
  <c r="C30" i="2"/>
  <c r="C47" i="2"/>
  <c r="D3" i="3"/>
  <c r="Q26" i="15" l="1"/>
  <c r="C26" i="15"/>
  <c r="C28" i="15" s="1"/>
  <c r="J26" i="15"/>
  <c r="Q28" i="15"/>
  <c r="T26" i="15"/>
  <c r="S26" i="15"/>
  <c r="J41" i="2"/>
  <c r="G43" i="2"/>
  <c r="G44" i="2" s="1"/>
  <c r="C43" i="2"/>
  <c r="C44" i="2" s="1"/>
  <c r="E43" i="2"/>
  <c r="E44" i="2" s="1"/>
  <c r="D43" i="2"/>
  <c r="D44" i="2" s="1"/>
  <c r="J42" i="2"/>
  <c r="F43" i="2"/>
  <c r="J20" i="1"/>
  <c r="H41" i="2"/>
  <c r="I41" i="2"/>
  <c r="H42" i="2"/>
  <c r="I42" i="2"/>
  <c r="G12" i="2"/>
  <c r="G16" i="2" s="1"/>
  <c r="C12" i="2"/>
  <c r="C16" i="2" s="1"/>
  <c r="D12" i="2"/>
  <c r="D16" i="2" s="1"/>
  <c r="F12" i="2"/>
  <c r="F16" i="2" s="1"/>
  <c r="E12" i="2"/>
  <c r="E16" i="2" s="1"/>
  <c r="J4" i="1"/>
  <c r="J29" i="1"/>
  <c r="J15" i="1"/>
  <c r="J13" i="1"/>
  <c r="J34" i="1"/>
  <c r="J33" i="1"/>
  <c r="J17" i="1"/>
  <c r="J12" i="1"/>
  <c r="J32" i="1"/>
  <c r="J27" i="1"/>
  <c r="J30" i="1"/>
  <c r="J16" i="1"/>
  <c r="J24" i="1"/>
  <c r="J28" i="1"/>
  <c r="N47" i="2"/>
  <c r="N30" i="2"/>
  <c r="L7" i="10"/>
  <c r="D43" i="10"/>
  <c r="E11" i="1"/>
  <c r="G51" i="10" s="1"/>
  <c r="E36" i="2"/>
  <c r="G36" i="2"/>
  <c r="G50" i="2"/>
  <c r="G6" i="3" s="1"/>
  <c r="H48" i="2"/>
  <c r="C36" i="2"/>
  <c r="C37" i="2" s="1"/>
  <c r="F36" i="2"/>
  <c r="D36" i="2"/>
  <c r="Q13" i="15"/>
  <c r="E50" i="2"/>
  <c r="E6" i="3" s="1"/>
  <c r="I48" i="2"/>
  <c r="J48" i="2"/>
  <c r="Q33" i="15"/>
  <c r="Q37" i="15"/>
  <c r="C13" i="15"/>
  <c r="C33" i="15"/>
  <c r="J37" i="15"/>
  <c r="J33" i="15"/>
  <c r="J13" i="15"/>
  <c r="C37" i="15"/>
  <c r="J20" i="15"/>
  <c r="C20" i="15"/>
  <c r="Q20" i="15"/>
  <c r="C50" i="2"/>
  <c r="C6" i="3" s="1"/>
  <c r="F50" i="2"/>
  <c r="F6" i="3" s="1"/>
  <c r="D50" i="2"/>
  <c r="D6" i="3" s="1"/>
  <c r="D15" i="3" s="1"/>
  <c r="D4" i="8"/>
  <c r="E3" i="10"/>
  <c r="D3" i="5"/>
  <c r="J49" i="2"/>
  <c r="H49" i="2"/>
  <c r="I49" i="2"/>
  <c r="D11" i="1"/>
  <c r="D40" i="2"/>
  <c r="C35" i="1"/>
  <c r="C11" i="1"/>
  <c r="E51" i="10" s="1"/>
  <c r="J32" i="2"/>
  <c r="H35" i="2"/>
  <c r="H34" i="2"/>
  <c r="H33" i="2"/>
  <c r="H32" i="2"/>
  <c r="H25" i="2"/>
  <c r="H17" i="2"/>
  <c r="H15" i="2"/>
  <c r="H14" i="2"/>
  <c r="H13" i="2"/>
  <c r="H11" i="2"/>
  <c r="H10" i="2"/>
  <c r="H9" i="2"/>
  <c r="H8" i="2"/>
  <c r="H7" i="2"/>
  <c r="H6" i="2"/>
  <c r="H5" i="2"/>
  <c r="H4" i="2"/>
  <c r="E26" i="15" l="1"/>
  <c r="F26" i="15"/>
  <c r="S28" i="15"/>
  <c r="R28" i="15"/>
  <c r="T28" i="15"/>
  <c r="L26" i="15"/>
  <c r="J28" i="15"/>
  <c r="M26" i="15"/>
  <c r="F51" i="10"/>
  <c r="F44" i="2"/>
  <c r="I43" i="2"/>
  <c r="J43" i="2"/>
  <c r="H43" i="2"/>
  <c r="H12" i="2"/>
  <c r="O47" i="2"/>
  <c r="O30" i="2"/>
  <c r="F37" i="2"/>
  <c r="P49" i="2"/>
  <c r="G37" i="2"/>
  <c r="E37" i="2"/>
  <c r="D37" i="2"/>
  <c r="O49" i="2"/>
  <c r="N49" i="2"/>
  <c r="N48" i="2"/>
  <c r="O48" i="2"/>
  <c r="M48" i="2"/>
  <c r="M49" i="2"/>
  <c r="L49" i="2"/>
  <c r="P48" i="2"/>
  <c r="L48" i="2"/>
  <c r="H50" i="2"/>
  <c r="L31" i="2"/>
  <c r="E3" i="3"/>
  <c r="E15" i="3" s="1"/>
  <c r="Q38" i="15"/>
  <c r="J50" i="2"/>
  <c r="C38" i="15"/>
  <c r="J38" i="15"/>
  <c r="Q21" i="15"/>
  <c r="C21" i="15"/>
  <c r="I50" i="2"/>
  <c r="J21" i="15"/>
  <c r="E15" i="10"/>
  <c r="E9" i="10"/>
  <c r="E4" i="8"/>
  <c r="F3" i="10"/>
  <c r="E3" i="5"/>
  <c r="D30" i="2"/>
  <c r="D47" i="2"/>
  <c r="E40" i="2"/>
  <c r="H50" i="10"/>
  <c r="H49" i="10" s="1"/>
  <c r="K28" i="15" l="1"/>
  <c r="M28" i="15"/>
  <c r="L28" i="15"/>
  <c r="P30" i="2"/>
  <c r="H30" i="2"/>
  <c r="H3" i="2"/>
  <c r="H40" i="2" s="1"/>
  <c r="H47" i="2"/>
  <c r="P47" i="2"/>
  <c r="L6" i="10"/>
  <c r="E43" i="10"/>
  <c r="P50" i="2"/>
  <c r="L50" i="2"/>
  <c r="B32" i="15"/>
  <c r="F32" i="15" s="1"/>
  <c r="B27" i="15"/>
  <c r="F27" i="15" s="1"/>
  <c r="B16" i="15"/>
  <c r="F16" i="15" s="1"/>
  <c r="B34" i="15"/>
  <c r="F34" i="15" s="1"/>
  <c r="B29" i="15"/>
  <c r="F29" i="15" s="1"/>
  <c r="B22" i="15"/>
  <c r="F22" i="15" s="1"/>
  <c r="B17" i="15"/>
  <c r="F17" i="15" s="1"/>
  <c r="B35" i="15"/>
  <c r="F35" i="15" s="1"/>
  <c r="B30" i="15"/>
  <c r="F30" i="15" s="1"/>
  <c r="B23" i="15"/>
  <c r="F23" i="15" s="1"/>
  <c r="B18" i="15"/>
  <c r="F18" i="15" s="1"/>
  <c r="B14" i="15"/>
  <c r="F14" i="15" s="1"/>
  <c r="B6" i="15"/>
  <c r="B36" i="15"/>
  <c r="F36" i="15" s="1"/>
  <c r="B31" i="15"/>
  <c r="F31" i="15" s="1"/>
  <c r="B24" i="15"/>
  <c r="F24" i="15" s="1"/>
  <c r="B19" i="15"/>
  <c r="F19" i="15" s="1"/>
  <c r="B15" i="15"/>
  <c r="F15" i="15" s="1"/>
  <c r="O50" i="2"/>
  <c r="N50" i="2"/>
  <c r="M50" i="2"/>
  <c r="F3" i="3"/>
  <c r="F15" i="3" s="1"/>
  <c r="Q39" i="15"/>
  <c r="C39" i="15"/>
  <c r="J39" i="15"/>
  <c r="F4" i="8"/>
  <c r="F3" i="5"/>
  <c r="G3" i="10"/>
  <c r="F9" i="10"/>
  <c r="F15" i="10"/>
  <c r="F14" i="10" s="1"/>
  <c r="E30" i="2"/>
  <c r="E47" i="2"/>
  <c r="F40" i="2"/>
  <c r="C14" i="10"/>
  <c r="E14" i="10"/>
  <c r="B14" i="10"/>
  <c r="D6" i="15" l="1"/>
  <c r="F6" i="15"/>
  <c r="L5" i="10"/>
  <c r="F43" i="10"/>
  <c r="E30" i="15"/>
  <c r="E24" i="15"/>
  <c r="E35" i="15"/>
  <c r="D31" i="15"/>
  <c r="E36" i="15"/>
  <c r="D17" i="15"/>
  <c r="E27" i="15"/>
  <c r="E14" i="15"/>
  <c r="D18" i="15"/>
  <c r="D29" i="15"/>
  <c r="E15" i="15"/>
  <c r="E34" i="15"/>
  <c r="I34" i="15"/>
  <c r="M34" i="15" s="1"/>
  <c r="I29" i="15"/>
  <c r="M29" i="15" s="1"/>
  <c r="I22" i="15"/>
  <c r="M22" i="15" s="1"/>
  <c r="I17" i="15"/>
  <c r="M17" i="15" s="1"/>
  <c r="I32" i="15"/>
  <c r="M32" i="15" s="1"/>
  <c r="I27" i="15"/>
  <c r="M27" i="15" s="1"/>
  <c r="I16" i="15"/>
  <c r="M16" i="15" s="1"/>
  <c r="I35" i="15"/>
  <c r="M35" i="15" s="1"/>
  <c r="I30" i="15"/>
  <c r="M30" i="15" s="1"/>
  <c r="I23" i="15"/>
  <c r="M23" i="15" s="1"/>
  <c r="I18" i="15"/>
  <c r="M18" i="15" s="1"/>
  <c r="I14" i="15"/>
  <c r="M14" i="15" s="1"/>
  <c r="I6" i="15"/>
  <c r="I36" i="15"/>
  <c r="M36" i="15" s="1"/>
  <c r="I31" i="15"/>
  <c r="M31" i="15" s="1"/>
  <c r="I24" i="15"/>
  <c r="M24" i="15" s="1"/>
  <c r="I19" i="15"/>
  <c r="M19" i="15" s="1"/>
  <c r="I15" i="15"/>
  <c r="M15" i="15" s="1"/>
  <c r="D27" i="15"/>
  <c r="D34" i="15"/>
  <c r="D15" i="15"/>
  <c r="E17" i="15"/>
  <c r="D19" i="15"/>
  <c r="E19" i="15"/>
  <c r="E18" i="15"/>
  <c r="D22" i="15"/>
  <c r="E31" i="15"/>
  <c r="E22" i="15"/>
  <c r="E29" i="15"/>
  <c r="D30" i="15"/>
  <c r="B33" i="15"/>
  <c r="F33" i="15" s="1"/>
  <c r="D36" i="15"/>
  <c r="D16" i="15"/>
  <c r="D14" i="15"/>
  <c r="E16" i="15"/>
  <c r="D24" i="15"/>
  <c r="E32" i="15"/>
  <c r="B20" i="15"/>
  <c r="F20" i="15" s="1"/>
  <c r="D23" i="15"/>
  <c r="E23" i="15"/>
  <c r="E6" i="15"/>
  <c r="D32" i="15"/>
  <c r="D35" i="15"/>
  <c r="F28" i="15"/>
  <c r="B37" i="15"/>
  <c r="F37" i="15" s="1"/>
  <c r="B13" i="15"/>
  <c r="F13" i="15" s="1"/>
  <c r="G3" i="3"/>
  <c r="G15" i="3" s="1"/>
  <c r="Q41" i="15"/>
  <c r="J41" i="15"/>
  <c r="G4" i="8"/>
  <c r="G3" i="1"/>
  <c r="H3" i="1"/>
  <c r="C41" i="15"/>
  <c r="H3" i="10"/>
  <c r="H15" i="10" s="1"/>
  <c r="H14" i="10" s="1"/>
  <c r="G3" i="5"/>
  <c r="G15" i="10"/>
  <c r="G14" i="10" s="1"/>
  <c r="G9" i="10"/>
  <c r="F30" i="2"/>
  <c r="F47" i="2"/>
  <c r="D26" i="15" l="1"/>
  <c r="P6" i="15"/>
  <c r="T6" i="15" s="1"/>
  <c r="G47" i="2"/>
  <c r="G40" i="2"/>
  <c r="L6" i="15"/>
  <c r="M6" i="15"/>
  <c r="L4" i="10"/>
  <c r="G43" i="10"/>
  <c r="K23" i="15"/>
  <c r="E28" i="15"/>
  <c r="K30" i="15"/>
  <c r="L17" i="15"/>
  <c r="D37" i="15"/>
  <c r="D33" i="15"/>
  <c r="L24" i="15"/>
  <c r="K35" i="15"/>
  <c r="K31" i="15"/>
  <c r="L29" i="15"/>
  <c r="L16" i="15"/>
  <c r="K34" i="15"/>
  <c r="L14" i="15"/>
  <c r="L32" i="15"/>
  <c r="E13" i="15"/>
  <c r="K18" i="15"/>
  <c r="L23" i="15"/>
  <c r="K24" i="15"/>
  <c r="P35" i="15"/>
  <c r="T35" i="15" s="1"/>
  <c r="P30" i="15"/>
  <c r="T30" i="15" s="1"/>
  <c r="P23" i="15"/>
  <c r="T23" i="15" s="1"/>
  <c r="P18" i="15"/>
  <c r="T18" i="15" s="1"/>
  <c r="P14" i="15"/>
  <c r="T14" i="15" s="1"/>
  <c r="P34" i="15"/>
  <c r="T34" i="15" s="1"/>
  <c r="P29" i="15"/>
  <c r="T29" i="15" s="1"/>
  <c r="P22" i="15"/>
  <c r="T22" i="15" s="1"/>
  <c r="P17" i="15"/>
  <c r="T17" i="15" s="1"/>
  <c r="P36" i="15"/>
  <c r="T36" i="15" s="1"/>
  <c r="P31" i="15"/>
  <c r="T31" i="15" s="1"/>
  <c r="P24" i="15"/>
  <c r="T24" i="15" s="1"/>
  <c r="P19" i="15"/>
  <c r="T19" i="15" s="1"/>
  <c r="P15" i="15"/>
  <c r="T15" i="15" s="1"/>
  <c r="P32" i="15"/>
  <c r="T32" i="15" s="1"/>
  <c r="P27" i="15"/>
  <c r="T27" i="15" s="1"/>
  <c r="P16" i="15"/>
  <c r="T16" i="15" s="1"/>
  <c r="K27" i="15"/>
  <c r="K17" i="15"/>
  <c r="E33" i="15"/>
  <c r="K14" i="15"/>
  <c r="L27" i="15"/>
  <c r="L31" i="15"/>
  <c r="D20" i="15"/>
  <c r="K22" i="15"/>
  <c r="D28" i="15"/>
  <c r="K29" i="15"/>
  <c r="K36" i="15"/>
  <c r="K19" i="15"/>
  <c r="L19" i="15"/>
  <c r="L34" i="15"/>
  <c r="L30" i="15"/>
  <c r="K6" i="15"/>
  <c r="B21" i="15"/>
  <c r="F21" i="15" s="1"/>
  <c r="L35" i="15"/>
  <c r="L36" i="15"/>
  <c r="E20" i="15"/>
  <c r="K16" i="15"/>
  <c r="L22" i="15"/>
  <c r="K32" i="15"/>
  <c r="I33" i="15"/>
  <c r="M33" i="15" s="1"/>
  <c r="L18" i="15"/>
  <c r="I20" i="15"/>
  <c r="M20" i="15" s="1"/>
  <c r="L15" i="15"/>
  <c r="I37" i="15"/>
  <c r="M37" i="15" s="1"/>
  <c r="D13" i="15"/>
  <c r="E37" i="15"/>
  <c r="I13" i="15"/>
  <c r="M13" i="15" s="1"/>
  <c r="B38" i="15"/>
  <c r="F38" i="15" s="1"/>
  <c r="K15" i="15"/>
  <c r="H9" i="10"/>
  <c r="L3" i="10" s="1"/>
  <c r="G30" i="2"/>
  <c r="G6" i="8"/>
  <c r="G5" i="8"/>
  <c r="P34" i="2"/>
  <c r="J35" i="2"/>
  <c r="I35" i="2"/>
  <c r="J34" i="2"/>
  <c r="I34" i="2"/>
  <c r="J33" i="2"/>
  <c r="I33" i="2"/>
  <c r="I32" i="2"/>
  <c r="I25" i="2"/>
  <c r="J17" i="2"/>
  <c r="I17" i="2"/>
  <c r="J15" i="2"/>
  <c r="I15" i="2"/>
  <c r="J14" i="2"/>
  <c r="I14" i="2"/>
  <c r="J13" i="2"/>
  <c r="I13" i="2"/>
  <c r="J12" i="2"/>
  <c r="I12" i="2"/>
  <c r="J11" i="2"/>
  <c r="I11" i="2"/>
  <c r="I10" i="2"/>
  <c r="J9" i="2"/>
  <c r="I9" i="2"/>
  <c r="J8" i="2"/>
  <c r="I8" i="2"/>
  <c r="J7" i="2"/>
  <c r="I7" i="2"/>
  <c r="J6" i="2"/>
  <c r="I6" i="2"/>
  <c r="J5" i="2"/>
  <c r="I5" i="2"/>
  <c r="J4" i="2"/>
  <c r="I4" i="2"/>
  <c r="F11" i="1"/>
  <c r="F18" i="1"/>
  <c r="F31" i="1"/>
  <c r="F35" i="1"/>
  <c r="I34" i="1"/>
  <c r="H34" i="1"/>
  <c r="I33" i="1"/>
  <c r="H33" i="1"/>
  <c r="I32" i="1"/>
  <c r="H32" i="1"/>
  <c r="I30" i="1"/>
  <c r="H30" i="1"/>
  <c r="I29" i="1"/>
  <c r="H29" i="1"/>
  <c r="I28" i="1"/>
  <c r="H28" i="1"/>
  <c r="I27" i="1"/>
  <c r="H27" i="1"/>
  <c r="I24" i="1"/>
  <c r="H24" i="1"/>
  <c r="I20" i="1"/>
  <c r="H20" i="1"/>
  <c r="I17" i="1"/>
  <c r="H17" i="1"/>
  <c r="I16" i="1"/>
  <c r="H16" i="1"/>
  <c r="I15" i="1"/>
  <c r="H15" i="1"/>
  <c r="I14" i="1"/>
  <c r="H14" i="1"/>
  <c r="I13" i="1"/>
  <c r="H13" i="1"/>
  <c r="I12" i="1"/>
  <c r="H12" i="1"/>
  <c r="I4" i="1"/>
  <c r="H4" i="1"/>
  <c r="H4" i="8"/>
  <c r="K26" i="15" l="1"/>
  <c r="G11" i="3"/>
  <c r="J11" i="1"/>
  <c r="H4" i="10"/>
  <c r="H51" i="10"/>
  <c r="H52" i="10"/>
  <c r="H53" i="10"/>
  <c r="H55" i="10"/>
  <c r="G17" i="8"/>
  <c r="H43" i="10"/>
  <c r="L20" i="15"/>
  <c r="K33" i="15"/>
  <c r="E21" i="15"/>
  <c r="L37" i="15"/>
  <c r="L13" i="15"/>
  <c r="B39" i="15"/>
  <c r="F39" i="15" s="1"/>
  <c r="G13" i="8"/>
  <c r="G16" i="3"/>
  <c r="L33" i="15"/>
  <c r="D21" i="15"/>
  <c r="K20" i="15"/>
  <c r="I21" i="15"/>
  <c r="M21" i="15" s="1"/>
  <c r="E38" i="15"/>
  <c r="D38" i="15"/>
  <c r="I38" i="15"/>
  <c r="M38" i="15" s="1"/>
  <c r="K13" i="15"/>
  <c r="K37" i="15"/>
  <c r="S24" i="15"/>
  <c r="R24" i="15"/>
  <c r="P33" i="15"/>
  <c r="T33" i="15" s="1"/>
  <c r="S29" i="15"/>
  <c r="R29" i="15"/>
  <c r="S31" i="15"/>
  <c r="R31" i="15"/>
  <c r="P37" i="15"/>
  <c r="T37" i="15" s="1"/>
  <c r="S34" i="15"/>
  <c r="R34" i="15"/>
  <c r="S18" i="15"/>
  <c r="R18" i="15"/>
  <c r="R16" i="15"/>
  <c r="S16" i="15"/>
  <c r="R35" i="15"/>
  <c r="S35" i="15"/>
  <c r="R36" i="15"/>
  <c r="S36" i="15"/>
  <c r="S17" i="15"/>
  <c r="R17" i="15"/>
  <c r="S23" i="15"/>
  <c r="R23" i="15"/>
  <c r="P20" i="15"/>
  <c r="T20" i="15" s="1"/>
  <c r="S14" i="15"/>
  <c r="R14" i="15"/>
  <c r="S15" i="15"/>
  <c r="R15" i="15"/>
  <c r="R27" i="15"/>
  <c r="S27" i="15"/>
  <c r="S19" i="15"/>
  <c r="R19" i="15"/>
  <c r="R32" i="15"/>
  <c r="S32" i="15"/>
  <c r="S22" i="15"/>
  <c r="R22" i="15"/>
  <c r="R26" i="15" s="1"/>
  <c r="P13" i="15"/>
  <c r="T13" i="15" s="1"/>
  <c r="R6" i="15"/>
  <c r="S6" i="15"/>
  <c r="S30" i="15"/>
  <c r="R30" i="15"/>
  <c r="H8" i="10"/>
  <c r="G9" i="3"/>
  <c r="G12" i="3"/>
  <c r="P32" i="2"/>
  <c r="P31" i="2"/>
  <c r="P33" i="2"/>
  <c r="P35" i="2"/>
  <c r="G18" i="2"/>
  <c r="G10" i="3"/>
  <c r="G12" i="8"/>
  <c r="G14" i="8"/>
  <c r="F36" i="1"/>
  <c r="F19" i="1"/>
  <c r="A24" i="10"/>
  <c r="D24" i="10" s="1"/>
  <c r="A26" i="10"/>
  <c r="A33" i="10" s="1"/>
  <c r="G7" i="1" l="1"/>
  <c r="G9" i="1"/>
  <c r="G10" i="1"/>
  <c r="G8" i="1"/>
  <c r="G5" i="1"/>
  <c r="G6" i="1"/>
  <c r="G15" i="8"/>
  <c r="G16" i="8" s="1"/>
  <c r="G11" i="1"/>
  <c r="E39" i="15"/>
  <c r="B41" i="15"/>
  <c r="D39" i="15"/>
  <c r="L38" i="15"/>
  <c r="K21" i="15"/>
  <c r="L21" i="15"/>
  <c r="K38" i="15"/>
  <c r="P36" i="2"/>
  <c r="I39" i="15"/>
  <c r="M39" i="15" s="1"/>
  <c r="P38" i="15"/>
  <c r="T38" i="15" s="1"/>
  <c r="S37" i="15"/>
  <c r="R37" i="15"/>
  <c r="R33" i="15"/>
  <c r="S33" i="15"/>
  <c r="R13" i="15"/>
  <c r="S13" i="15"/>
  <c r="P21" i="15"/>
  <c r="T21" i="15" s="1"/>
  <c r="S20" i="15"/>
  <c r="R20" i="15"/>
  <c r="G4" i="5"/>
  <c r="G7" i="5" s="1"/>
  <c r="A27" i="10"/>
  <c r="A34" i="10" s="1"/>
  <c r="G19" i="3"/>
  <c r="G10" i="8"/>
  <c r="G18" i="3"/>
  <c r="G17" i="3"/>
  <c r="G33" i="1"/>
  <c r="G30" i="1"/>
  <c r="G26" i="1"/>
  <c r="G20" i="1"/>
  <c r="G17" i="1"/>
  <c r="G13" i="1"/>
  <c r="G32" i="1"/>
  <c r="G29" i="1"/>
  <c r="G19" i="1"/>
  <c r="G16" i="1"/>
  <c r="G12" i="1"/>
  <c r="G27" i="1"/>
  <c r="G14" i="1"/>
  <c r="G36" i="1"/>
  <c r="G31" i="1"/>
  <c r="G28" i="1"/>
  <c r="G24" i="1"/>
  <c r="G18" i="1"/>
  <c r="G15" i="1"/>
  <c r="G4" i="1"/>
  <c r="G35" i="1"/>
  <c r="G34" i="1"/>
  <c r="F37" i="1"/>
  <c r="B29" i="10"/>
  <c r="G13" i="3" l="1"/>
  <c r="I41" i="15"/>
  <c r="L39" i="15"/>
  <c r="K39" i="15"/>
  <c r="S21" i="15"/>
  <c r="R21" i="15"/>
  <c r="P39" i="15"/>
  <c r="T39" i="15" s="1"/>
  <c r="R38" i="15"/>
  <c r="S38" i="15"/>
  <c r="G10" i="5"/>
  <c r="G14" i="3"/>
  <c r="G4" i="3"/>
  <c r="A28" i="10"/>
  <c r="A35" i="10" s="1"/>
  <c r="G37" i="1"/>
  <c r="F39" i="1"/>
  <c r="H54" i="10" s="1"/>
  <c r="P41" i="15" l="1"/>
  <c r="R39" i="15"/>
  <c r="S39" i="15"/>
  <c r="G8" i="8"/>
  <c r="G5" i="3"/>
  <c r="A29" i="10"/>
  <c r="A36" i="10" s="1"/>
  <c r="AB4" i="10"/>
  <c r="C8" i="10"/>
  <c r="D8" i="10"/>
  <c r="E8" i="10"/>
  <c r="F8" i="10"/>
  <c r="G8" i="10"/>
  <c r="B8" i="10"/>
  <c r="A8" i="10"/>
  <c r="T3" i="10" s="1"/>
  <c r="A5" i="10"/>
  <c r="AB5" i="10" l="1"/>
  <c r="AE4" i="10"/>
  <c r="H5" i="10"/>
  <c r="A1" i="10"/>
  <c r="G8" i="3"/>
  <c r="G7" i="3"/>
  <c r="T5" i="10"/>
  <c r="T9" i="10"/>
  <c r="T8" i="10"/>
  <c r="T6" i="10"/>
  <c r="T10" i="10"/>
  <c r="T7" i="10"/>
  <c r="T4" i="10"/>
  <c r="C6" i="8"/>
  <c r="D6" i="8"/>
  <c r="E6" i="8"/>
  <c r="F6" i="8"/>
  <c r="C5" i="8"/>
  <c r="L19" i="8" s="1"/>
  <c r="D5" i="8"/>
  <c r="E5" i="8"/>
  <c r="F5" i="8"/>
  <c r="AB6" i="10" l="1"/>
  <c r="AE5" i="10"/>
  <c r="U3" i="10"/>
  <c r="V3" i="10" s="1"/>
  <c r="A10" i="10" s="1"/>
  <c r="A44" i="10" s="1"/>
  <c r="J6" i="8"/>
  <c r="H5" i="8"/>
  <c r="J5" i="8"/>
  <c r="I5" i="8"/>
  <c r="I6" i="8"/>
  <c r="H6" i="8"/>
  <c r="U4" i="10"/>
  <c r="V4" i="10" s="1"/>
  <c r="A11" i="10" s="1"/>
  <c r="U8" i="10"/>
  <c r="V8" i="10" s="1"/>
  <c r="U10" i="10"/>
  <c r="V10" i="10" s="1"/>
  <c r="U7" i="10"/>
  <c r="V7" i="10" s="1"/>
  <c r="U5" i="10"/>
  <c r="V5" i="10" s="1"/>
  <c r="U9" i="10"/>
  <c r="V9" i="10" s="1"/>
  <c r="U6" i="10"/>
  <c r="V6" i="10" s="1"/>
  <c r="AB7" i="10" l="1"/>
  <c r="AB8" i="10" s="1"/>
  <c r="AB9" i="10" s="1"/>
  <c r="AE6" i="10"/>
  <c r="AF3" i="10" s="1"/>
  <c r="AF6" i="10"/>
  <c r="H11" i="10"/>
  <c r="A45" i="10"/>
  <c r="AB10" i="10"/>
  <c r="H10" i="10"/>
  <c r="E35" i="1"/>
  <c r="E31" i="1"/>
  <c r="E18" i="1"/>
  <c r="F11" i="3" l="1"/>
  <c r="G52" i="10"/>
  <c r="J18" i="1"/>
  <c r="G55" i="10"/>
  <c r="J26" i="1"/>
  <c r="G53" i="10"/>
  <c r="J31" i="1"/>
  <c r="J35" i="1"/>
  <c r="AF12" i="10"/>
  <c r="AF15" i="10"/>
  <c r="AF8" i="10"/>
  <c r="AF25" i="10"/>
  <c r="AF18" i="10"/>
  <c r="AF5" i="10"/>
  <c r="AF13" i="10"/>
  <c r="AF22" i="10"/>
  <c r="AF27" i="10"/>
  <c r="AF10" i="10"/>
  <c r="AF24" i="10"/>
  <c r="AF7" i="10"/>
  <c r="AF4" i="10"/>
  <c r="AF17" i="10"/>
  <c r="AF26" i="10"/>
  <c r="AF11" i="10"/>
  <c r="AF14" i="10"/>
  <c r="AF23" i="10"/>
  <c r="AF20" i="10"/>
  <c r="AF21" i="10"/>
  <c r="AF16" i="10"/>
  <c r="AF9" i="10"/>
  <c r="AF19" i="10"/>
  <c r="AG3" i="10"/>
  <c r="A16" i="10" s="1"/>
  <c r="D16" i="10" s="1"/>
  <c r="F17" i="8"/>
  <c r="H12" i="10"/>
  <c r="H44" i="10" s="1"/>
  <c r="F16" i="3"/>
  <c r="O34" i="2"/>
  <c r="H36" i="2"/>
  <c r="J36" i="2"/>
  <c r="I36" i="2"/>
  <c r="H31" i="2"/>
  <c r="I31" i="2"/>
  <c r="J31" i="2"/>
  <c r="F18" i="2"/>
  <c r="H16" i="2"/>
  <c r="I16" i="2"/>
  <c r="J16" i="2"/>
  <c r="G11" i="10"/>
  <c r="H35" i="1"/>
  <c r="I35" i="1"/>
  <c r="H11" i="1"/>
  <c r="I11" i="1"/>
  <c r="I18" i="1"/>
  <c r="H18" i="1"/>
  <c r="H26" i="1"/>
  <c r="I26" i="1"/>
  <c r="I31" i="1"/>
  <c r="H31" i="1"/>
  <c r="F14" i="8"/>
  <c r="G4" i="10"/>
  <c r="AB11" i="10"/>
  <c r="A7" i="10"/>
  <c r="E36" i="1"/>
  <c r="J36" i="1" s="1"/>
  <c r="F12" i="8"/>
  <c r="F13" i="8"/>
  <c r="O32" i="2"/>
  <c r="F12" i="3"/>
  <c r="F10" i="3"/>
  <c r="E19" i="1"/>
  <c r="J19" i="1" s="1"/>
  <c r="O31" i="2"/>
  <c r="O33" i="2"/>
  <c r="O35" i="2"/>
  <c r="F9" i="3"/>
  <c r="J17" i="8" l="1"/>
  <c r="H17" i="8"/>
  <c r="I17" i="8"/>
  <c r="H45" i="10"/>
  <c r="F18" i="3"/>
  <c r="G5" i="10"/>
  <c r="B28" i="10"/>
  <c r="G36" i="10" s="1"/>
  <c r="E36" i="10" s="1"/>
  <c r="J13" i="8"/>
  <c r="J14" i="8"/>
  <c r="J12" i="8"/>
  <c r="O36" i="2"/>
  <c r="F4" i="5"/>
  <c r="F7" i="5" s="1"/>
  <c r="F19" i="3"/>
  <c r="F17" i="3"/>
  <c r="F10" i="8"/>
  <c r="I18" i="2"/>
  <c r="H18" i="2"/>
  <c r="J18" i="2"/>
  <c r="H19" i="1"/>
  <c r="I19" i="1"/>
  <c r="I36" i="1"/>
  <c r="H36" i="1"/>
  <c r="G10" i="10"/>
  <c r="I13" i="8"/>
  <c r="H13" i="8"/>
  <c r="H12" i="8"/>
  <c r="I12" i="8"/>
  <c r="H14" i="8"/>
  <c r="I14" i="8"/>
  <c r="AB12" i="10"/>
  <c r="E37" i="1"/>
  <c r="J37" i="1" s="1"/>
  <c r="F15" i="8"/>
  <c r="F16" i="8" s="1"/>
  <c r="H16" i="8" l="1"/>
  <c r="I16" i="8"/>
  <c r="J16" i="8"/>
  <c r="G12" i="10"/>
  <c r="G45" i="10" s="1"/>
  <c r="J15" i="8"/>
  <c r="D16" i="3"/>
  <c r="E16" i="3"/>
  <c r="F10" i="5"/>
  <c r="F14" i="3"/>
  <c r="F4" i="3"/>
  <c r="H10" i="8"/>
  <c r="I10" i="8"/>
  <c r="I37" i="1"/>
  <c r="H37" i="1"/>
  <c r="H15" i="8"/>
  <c r="I15" i="8"/>
  <c r="AB13" i="10"/>
  <c r="F13" i="3"/>
  <c r="E39" i="1"/>
  <c r="G54" i="10" s="1"/>
  <c r="L33" i="2"/>
  <c r="G44" i="10" l="1"/>
  <c r="F5" i="3"/>
  <c r="F8" i="8"/>
  <c r="AB14" i="10"/>
  <c r="N31" i="2"/>
  <c r="N33" i="2"/>
  <c r="N35" i="2"/>
  <c r="N34" i="2"/>
  <c r="N32" i="2"/>
  <c r="M33" i="2"/>
  <c r="L34" i="2"/>
  <c r="M31" i="2"/>
  <c r="L32" i="2"/>
  <c r="L35" i="2"/>
  <c r="M34" i="2"/>
  <c r="M32" i="2"/>
  <c r="M35" i="2"/>
  <c r="C31" i="1"/>
  <c r="E53" i="10" s="1"/>
  <c r="D31" i="1"/>
  <c r="E55" i="10"/>
  <c r="C18" i="1"/>
  <c r="D11" i="3" s="1"/>
  <c r="F53" i="10" l="1"/>
  <c r="D17" i="8"/>
  <c r="E52" i="10"/>
  <c r="D13" i="8"/>
  <c r="L36" i="2"/>
  <c r="N36" i="2"/>
  <c r="M36" i="2"/>
  <c r="AB15" i="10"/>
  <c r="AB16" i="10" s="1"/>
  <c r="AB17" i="10" s="1"/>
  <c r="AB18" i="10" s="1"/>
  <c r="AB19" i="10" s="1"/>
  <c r="AB20" i="10" s="1"/>
  <c r="AB21" i="10" s="1"/>
  <c r="AB22" i="10" s="1"/>
  <c r="AB23" i="10" s="1"/>
  <c r="AB24" i="10" s="1"/>
  <c r="J8" i="8"/>
  <c r="I8" i="8"/>
  <c r="H8" i="8"/>
  <c r="F7" i="3"/>
  <c r="F8" i="3"/>
  <c r="E11" i="10"/>
  <c r="D14" i="8"/>
  <c r="E4" i="10"/>
  <c r="D12" i="8"/>
  <c r="E12" i="8"/>
  <c r="D18" i="2"/>
  <c r="D9" i="3"/>
  <c r="C18" i="2"/>
  <c r="C9" i="3"/>
  <c r="D10" i="3"/>
  <c r="D12" i="3"/>
  <c r="C19" i="1"/>
  <c r="C36" i="1"/>
  <c r="D35" i="1"/>
  <c r="D18" i="1"/>
  <c r="F55" i="10" l="1"/>
  <c r="F52" i="10"/>
  <c r="E11" i="3"/>
  <c r="E17" i="8"/>
  <c r="B26" i="10"/>
  <c r="D4" i="5"/>
  <c r="D7" i="5" s="1"/>
  <c r="D10" i="5" s="1"/>
  <c r="D15" i="8"/>
  <c r="D16" i="8" s="1"/>
  <c r="C4" i="5"/>
  <c r="C7" i="5" s="1"/>
  <c r="D18" i="3"/>
  <c r="D17" i="3"/>
  <c r="E5" i="10"/>
  <c r="F11" i="10"/>
  <c r="E10" i="10"/>
  <c r="F4" i="10"/>
  <c r="E9" i="3"/>
  <c r="E13" i="8"/>
  <c r="D10" i="8"/>
  <c r="D19" i="3"/>
  <c r="E12" i="3"/>
  <c r="E14" i="8"/>
  <c r="C10" i="8"/>
  <c r="C19" i="3"/>
  <c r="C37" i="1"/>
  <c r="E10" i="3"/>
  <c r="E18" i="2"/>
  <c r="D36" i="1"/>
  <c r="D19" i="1"/>
  <c r="E12" i="10" l="1"/>
  <c r="E45" i="10" s="1"/>
  <c r="D14" i="3"/>
  <c r="B27" i="10"/>
  <c r="G35" i="10" s="1"/>
  <c r="E35" i="10" s="1"/>
  <c r="D4" i="3"/>
  <c r="F10" i="10"/>
  <c r="E4" i="5"/>
  <c r="E7" i="5" s="1"/>
  <c r="D8" i="8"/>
  <c r="D5" i="3"/>
  <c r="C10" i="5"/>
  <c r="C14" i="3"/>
  <c r="C4" i="3"/>
  <c r="F5" i="10"/>
  <c r="E15" i="8"/>
  <c r="E16" i="8" s="1"/>
  <c r="E18" i="3"/>
  <c r="E10" i="8"/>
  <c r="E19" i="3"/>
  <c r="D13" i="3"/>
  <c r="C39" i="1"/>
  <c r="E54" i="10" s="1"/>
  <c r="E17" i="3"/>
  <c r="D37" i="1"/>
  <c r="F12" i="10" l="1"/>
  <c r="F45" i="10" s="1"/>
  <c r="E44" i="10"/>
  <c r="G34" i="10"/>
  <c r="E34" i="10" s="1"/>
  <c r="D7" i="3"/>
  <c r="D8" i="3"/>
  <c r="D35" i="10"/>
  <c r="E4" i="3"/>
  <c r="E10" i="5"/>
  <c r="E14" i="3"/>
  <c r="C8" i="8"/>
  <c r="C5" i="3"/>
  <c r="D36" i="10"/>
  <c r="D39" i="1"/>
  <c r="F54" i="10" s="1"/>
  <c r="E13" i="3"/>
  <c r="F44" i="10" l="1"/>
  <c r="D34" i="10"/>
  <c r="E8" i="8"/>
  <c r="E5" i="3"/>
  <c r="C7" i="3"/>
  <c r="AG13" i="10"/>
  <c r="AG10" i="10"/>
  <c r="AG15" i="10"/>
  <c r="AG11" i="10"/>
  <c r="AG9" i="10"/>
  <c r="AG7" i="10"/>
  <c r="AG5" i="10"/>
  <c r="AG4" i="10"/>
  <c r="AG12" i="10"/>
  <c r="AG6" i="10"/>
  <c r="AG8" i="10"/>
  <c r="E7" i="3" l="1"/>
  <c r="E8" i="3"/>
  <c r="AH6" i="10"/>
  <c r="A19" i="10"/>
  <c r="AH5" i="10"/>
  <c r="A18" i="10"/>
  <c r="A22" i="10"/>
  <c r="A17" i="10"/>
  <c r="A21" i="10"/>
  <c r="A20" i="10"/>
  <c r="AH3" i="10"/>
  <c r="AI8" i="10" l="1"/>
  <c r="AJ8" i="10" s="1"/>
  <c r="AI11" i="10"/>
  <c r="AJ11" i="10" s="1"/>
  <c r="AI13" i="10"/>
  <c r="AJ13" i="10" s="1"/>
  <c r="AI3" i="10"/>
  <c r="AJ3" i="10" s="1"/>
  <c r="AI6" i="10"/>
  <c r="AJ6" i="10" s="1"/>
  <c r="AI12" i="10"/>
  <c r="AJ12" i="10" s="1"/>
  <c r="AI5" i="10"/>
  <c r="AJ5" i="10" s="1"/>
  <c r="H17" i="10"/>
  <c r="E17" i="10"/>
  <c r="G17" i="10"/>
  <c r="F17" i="10"/>
  <c r="E18" i="10"/>
  <c r="F18" i="10"/>
  <c r="H18" i="10"/>
  <c r="D18" i="10"/>
  <c r="G18" i="10"/>
  <c r="AI10" i="10"/>
  <c r="AJ10" i="10" s="1"/>
  <c r="AI9" i="10"/>
  <c r="AJ9" i="10" s="1"/>
  <c r="AI4" i="10"/>
  <c r="AJ4" i="10" s="1"/>
  <c r="AI7" i="10"/>
  <c r="AJ7" i="10" s="1"/>
  <c r="H16" i="10"/>
  <c r="G16" i="10"/>
  <c r="E16" i="10"/>
  <c r="F16" i="10"/>
  <c r="F19" i="10"/>
  <c r="G19" i="10"/>
  <c r="E19" i="10"/>
  <c r="H19" i="10"/>
  <c r="D19" i="10"/>
  <c r="I16" i="10" l="1"/>
  <c r="I19" i="10"/>
  <c r="I18" i="10"/>
  <c r="H21" i="10" l="1"/>
  <c r="H20" i="10"/>
  <c r="H22" i="10"/>
  <c r="G20" i="10" l="1"/>
  <c r="G22" i="10"/>
  <c r="G21" i="10"/>
  <c r="E20" i="10" l="1"/>
  <c r="E22" i="10" l="1"/>
  <c r="D21" i="10"/>
  <c r="E21" i="10"/>
  <c r="D20" i="10"/>
  <c r="AH10" i="10"/>
  <c r="AH12" i="10" l="1"/>
  <c r="AH11" i="10"/>
  <c r="AH8" i="10"/>
  <c r="AH13" i="10"/>
  <c r="F22" i="10"/>
  <c r="F21" i="10"/>
  <c r="I21" i="10" s="1"/>
  <c r="F20" i="10"/>
  <c r="I20" i="10" s="1"/>
  <c r="AH7" i="10"/>
  <c r="B25" i="10" l="1"/>
  <c r="G33" i="10" s="1"/>
  <c r="D11" i="10"/>
  <c r="D55" i="10"/>
  <c r="I55" i="10" s="1"/>
  <c r="D54" i="10"/>
  <c r="I54" i="10" s="1"/>
  <c r="D52" i="10"/>
  <c r="I52" i="10" s="1"/>
  <c r="D5" i="10"/>
  <c r="D22" i="10"/>
  <c r="I22" i="10" s="1"/>
  <c r="D17" i="10"/>
  <c r="I17" i="10" s="1"/>
  <c r="D10" i="10"/>
  <c r="I10" i="10" s="1"/>
  <c r="AH4" i="10"/>
  <c r="C17" i="3"/>
  <c r="AH9" i="10"/>
  <c r="C16" i="3"/>
  <c r="C12" i="8"/>
  <c r="D51" i="10"/>
  <c r="I51" i="10" s="1"/>
  <c r="D4" i="10"/>
  <c r="C14" i="8"/>
  <c r="C8" i="3"/>
  <c r="C18" i="3"/>
  <c r="C15" i="3"/>
  <c r="C15" i="8"/>
  <c r="C13" i="8"/>
  <c r="C17" i="8"/>
  <c r="C11" i="3"/>
  <c r="C10" i="3"/>
  <c r="C12" i="3"/>
  <c r="D53" i="10"/>
  <c r="I53" i="10" s="1"/>
  <c r="C13" i="3"/>
  <c r="C16" i="8" l="1"/>
  <c r="J22" i="10"/>
  <c r="D12" i="10"/>
  <c r="D44" i="10" s="1"/>
  <c r="I56" i="10"/>
  <c r="A59" i="10" s="1"/>
  <c r="J21" i="10"/>
  <c r="F32" i="10"/>
  <c r="G32" i="10" s="1"/>
  <c r="A60" i="10"/>
  <c r="E33" i="10"/>
  <c r="D33" i="10"/>
  <c r="J18" i="10"/>
  <c r="A61" i="10"/>
  <c r="J17" i="10"/>
  <c r="J19" i="10"/>
  <c r="A63" i="10"/>
  <c r="I11" i="10"/>
  <c r="J20" i="10"/>
  <c r="J16" i="10"/>
  <c r="A62" i="10" l="1"/>
  <c r="B33" i="10"/>
  <c r="B34" i="10" s="1"/>
  <c r="B35" i="10" s="1"/>
  <c r="B36" i="10" s="1"/>
  <c r="C37" i="10" s="1"/>
  <c r="D45" i="10"/>
  <c r="O19" i="10"/>
  <c r="R19" i="10" s="1"/>
  <c r="O18" i="10"/>
  <c r="R18" i="10" s="1"/>
  <c r="O16" i="10"/>
  <c r="R16" i="10" s="1"/>
  <c r="O17" i="10"/>
  <c r="R17" i="10" s="1"/>
  <c r="O20" i="10"/>
  <c r="R20" i="10" s="1"/>
  <c r="O22" i="10"/>
  <c r="R22" i="10" s="1"/>
  <c r="O21" i="10"/>
  <c r="R21" i="10" s="1"/>
  <c r="R23" i="10" l="1"/>
  <c r="O23" i="10" s="1"/>
  <c r="S19" i="10" l="1"/>
  <c r="S18" i="10"/>
  <c r="S17" i="10"/>
  <c r="S16" i="10"/>
  <c r="S20" i="10"/>
  <c r="S22" i="10"/>
  <c r="S21" i="10"/>
</calcChain>
</file>

<file path=xl/sharedStrings.xml><?xml version="1.0" encoding="utf-8"?>
<sst xmlns="http://schemas.openxmlformats.org/spreadsheetml/2006/main" count="787" uniqueCount="265">
  <si>
    <t>Indicator</t>
  </si>
  <si>
    <t>Imobilizari corporale</t>
  </si>
  <si>
    <t>Property, plant and equipment</t>
  </si>
  <si>
    <t>Investitii imobiliare</t>
  </si>
  <si>
    <t>Investment property</t>
  </si>
  <si>
    <t>Total active pe termen lung</t>
  </si>
  <si>
    <t>Total non-current assets</t>
  </si>
  <si>
    <t>Creante comerciale si alte creante</t>
  </si>
  <si>
    <t>Total active curente</t>
  </si>
  <si>
    <t>Total current assets</t>
  </si>
  <si>
    <t>Total activ</t>
  </si>
  <si>
    <t>Total assets</t>
  </si>
  <si>
    <t>Capital social</t>
  </si>
  <si>
    <t>Issued capital</t>
  </si>
  <si>
    <t>Share premium</t>
  </si>
  <si>
    <t>Rezerve</t>
  </si>
  <si>
    <t>Rezultat reportat</t>
  </si>
  <si>
    <t>Retained earnings</t>
  </si>
  <si>
    <t>Total capitaluri</t>
  </si>
  <si>
    <t>Imprumuturi</t>
  </si>
  <si>
    <t>Deferred tax liabilities</t>
  </si>
  <si>
    <t>Total datorii pe termen lung</t>
  </si>
  <si>
    <t>Total non-current liabilities</t>
  </si>
  <si>
    <t>Total datorii curente</t>
  </si>
  <si>
    <t>Total current liabilities</t>
  </si>
  <si>
    <t>Total datorii</t>
  </si>
  <si>
    <t>Total liabilities</t>
  </si>
  <si>
    <t>Total capitaluri si datorii</t>
  </si>
  <si>
    <t>Revenue</t>
  </si>
  <si>
    <t>Raw materials and consumables used</t>
  </si>
  <si>
    <t>Depreciation and amortisation expenses</t>
  </si>
  <si>
    <t>Other expenses</t>
  </si>
  <si>
    <t>Profit (pierdere) inaintea impozitarii</t>
  </si>
  <si>
    <t>Impozit pe profit</t>
  </si>
  <si>
    <t>Venituri din chirii</t>
  </si>
  <si>
    <t xml:space="preserve"> Rental and royalty income </t>
  </si>
  <si>
    <t>Total vanzari nete</t>
  </si>
  <si>
    <t>Alte venituri</t>
  </si>
  <si>
    <t xml:space="preserve"> - Venituri din prestari servicii</t>
  </si>
  <si>
    <t xml:space="preserve"> - Venituri din vanzari de marfuri</t>
  </si>
  <si>
    <t xml:space="preserve"> - Venituri din alte activitati</t>
  </si>
  <si>
    <t>© ROMCARBON SA</t>
  </si>
  <si>
    <t xml:space="preserve"> - Services rendered</t>
  </si>
  <si>
    <t xml:space="preserve"> - Sale of commodities</t>
  </si>
  <si>
    <t xml:space="preserve"> - Revenues from sundry services</t>
  </si>
  <si>
    <t>EBITDA</t>
  </si>
  <si>
    <t>Formula</t>
  </si>
  <si>
    <t>EBITDA in total vanzari</t>
  </si>
  <si>
    <t>EBITDA in capitaluri proprii</t>
  </si>
  <si>
    <t>Rata profitului brut</t>
  </si>
  <si>
    <t>Cifra de afaceri</t>
  </si>
  <si>
    <t>Indicatorul lichiditatii curente</t>
  </si>
  <si>
    <t>Indicatorul lichiditatii imediate(testul acid)</t>
  </si>
  <si>
    <t>Indicatorul gradului de indatorare(1)</t>
  </si>
  <si>
    <t>Indicatorul gradului de indatorare(2)</t>
  </si>
  <si>
    <t>Rata de acoperire a dobanzii</t>
  </si>
  <si>
    <t>Viteza de rotatie a creantelor comerciale</t>
  </si>
  <si>
    <t>Viteza de rotatie a datoriilor comerciale</t>
  </si>
  <si>
    <t>Rata rentabilitatii economice(ROA)</t>
  </si>
  <si>
    <t>Rata rentabilitatii financiare(ROE)</t>
  </si>
  <si>
    <t>Rata rentabilitatii comerciale(ROS)</t>
  </si>
  <si>
    <t>EBITDA/Cifra de afaceri</t>
  </si>
  <si>
    <t>EBITDA/Capitaluri</t>
  </si>
  <si>
    <t>Profit brut/Cifra de afaceri</t>
  </si>
  <si>
    <t>Active curente/Datorii curente</t>
  </si>
  <si>
    <t>(Active curente-Stocuri)/Datorii curente</t>
  </si>
  <si>
    <t>Datorii pe termen lung/Capitaluri</t>
  </si>
  <si>
    <t>Total datorii/Total active</t>
  </si>
  <si>
    <t>EBIT/Cheltuieli cu dobanzile</t>
  </si>
  <si>
    <t>EBIT</t>
  </si>
  <si>
    <t>Sold mediu creante comerciale/Cifra de afaceri</t>
  </si>
  <si>
    <t>Sold mediu datorii comerciale/Cifra de afaceri</t>
  </si>
  <si>
    <t>Rezultat net/Active totale</t>
  </si>
  <si>
    <t>Rezultat net/Capitaluri</t>
  </si>
  <si>
    <t>Rezultat net/Cifra de afaceri</t>
  </si>
  <si>
    <t xml:space="preserve">Profit net </t>
  </si>
  <si>
    <t>Cheltuieli cu impozitul pe profit (+)</t>
  </si>
  <si>
    <t>Cheltuieli cu dobanzile (+)</t>
  </si>
  <si>
    <t>Cheltuieli cu amortizarea (+)</t>
  </si>
  <si>
    <t>Venituri din subventii pentru investitii (-)</t>
  </si>
  <si>
    <t>Vezi pagina EBIT-EBITDA</t>
  </si>
  <si>
    <t>Vanzari nete + Venituri din chirii</t>
  </si>
  <si>
    <t xml:space="preserve">Net profit </t>
  </si>
  <si>
    <t>Profit tax (+)</t>
  </si>
  <si>
    <t>Expenses with interests (+)</t>
  </si>
  <si>
    <t>Depreciation(+)</t>
  </si>
  <si>
    <t>Revenues from subsidies for investment (-)</t>
  </si>
  <si>
    <t>Fax: +40(0)238 710 697</t>
  </si>
  <si>
    <t>investor.relations@romcarbon.com</t>
  </si>
  <si>
    <t>List1</t>
  </si>
  <si>
    <t>List2</t>
  </si>
  <si>
    <t>List3</t>
  </si>
  <si>
    <t>Start</t>
  </si>
  <si>
    <t>Base</t>
  </si>
  <si>
    <t>End</t>
  </si>
  <si>
    <t>Down</t>
  </si>
  <si>
    <t>Up</t>
  </si>
  <si>
    <t>Net</t>
  </si>
  <si>
    <t>Date</t>
  </si>
  <si>
    <t>Rank</t>
  </si>
  <si>
    <t>Pozitie</t>
  </si>
  <si>
    <t>Center</t>
  </si>
  <si>
    <t>Value</t>
  </si>
  <si>
    <t>%</t>
  </si>
  <si>
    <t>www.romcarbon.com</t>
  </si>
  <si>
    <t xml:space="preserve"> - Venituri din vanzari de produse finite</t>
  </si>
  <si>
    <t xml:space="preserve"> - Sales of finished goods</t>
  </si>
  <si>
    <t>Period</t>
  </si>
  <si>
    <t>Camp</t>
  </si>
  <si>
    <t>Year</t>
  </si>
  <si>
    <t>Total Cifra de Afaceri, din care:</t>
  </si>
  <si>
    <t>List5</t>
  </si>
  <si>
    <t>Days</t>
  </si>
  <si>
    <t>Trimestrul1</t>
  </si>
  <si>
    <t>Trimestrul3</t>
  </si>
  <si>
    <t>Semestrul1</t>
  </si>
  <si>
    <t xml:space="preserve">3 luni </t>
  </si>
  <si>
    <t xml:space="preserve">6 luni </t>
  </si>
  <si>
    <t xml:space="preserve">9 luni </t>
  </si>
  <si>
    <t xml:space="preserve">31 Martie </t>
  </si>
  <si>
    <t xml:space="preserve">30 Iunie </t>
  </si>
  <si>
    <t xml:space="preserve">30 Septembrie </t>
  </si>
  <si>
    <t>31 Martie</t>
  </si>
  <si>
    <t>30 Iunie</t>
  </si>
  <si>
    <t>30 Septembrie</t>
  </si>
  <si>
    <r>
      <rPr>
        <b/>
        <u/>
        <sz val="11"/>
        <rFont val="Candara"/>
        <family val="2"/>
      </rPr>
      <t>Nota:</t>
    </r>
    <r>
      <rPr>
        <b/>
        <sz val="11"/>
        <rFont val="Candara"/>
        <family val="2"/>
      </rPr>
      <t xml:space="preserve"> </t>
    </r>
    <r>
      <rPr>
        <i/>
        <sz val="11"/>
        <rFont val="Candara"/>
        <family val="2"/>
      </rPr>
      <t>Acest document a fost pregatit in scop informativ.</t>
    </r>
    <r>
      <rPr>
        <b/>
        <sz val="11"/>
        <rFont val="Candara"/>
        <family val="2"/>
      </rPr>
      <t xml:space="preserve">
</t>
    </r>
  </si>
  <si>
    <t>Sursa datelor o reprezinta situatiile financiare ale companiei.</t>
  </si>
  <si>
    <t>In acest fisier toate sumele sunt exprimate in lei.</t>
  </si>
  <si>
    <t>Str.Transilvaniei, nr.132, Buzau</t>
  </si>
  <si>
    <t>Cod postal: 120012</t>
  </si>
  <si>
    <t>Tel: +40(0)238 711 155</t>
  </si>
  <si>
    <t>Profit net</t>
  </si>
  <si>
    <t>Active pe termen lung</t>
  </si>
  <si>
    <t>Active curente</t>
  </si>
  <si>
    <t>Capitaluri</t>
  </si>
  <si>
    <t>Total Datorii</t>
  </si>
  <si>
    <t>Comparatii cu inceputul anului pentru ultimele 3 perioade</t>
  </si>
  <si>
    <t>01 Ianuarie</t>
  </si>
  <si>
    <t>Evolutie</t>
  </si>
  <si>
    <t>Nr.zile</t>
  </si>
  <si>
    <t>Nota: In EBIT si EBITDA sunt incluse si elemente nerecurente cum ar fi dividendele, vanzari de active, altele.</t>
  </si>
  <si>
    <t>Datorii</t>
  </si>
  <si>
    <t>Capitaluri&amp;Datorii</t>
  </si>
  <si>
    <t>Activ</t>
  </si>
  <si>
    <t>Datorii pe termen lung</t>
  </si>
  <si>
    <t>Datorii curente</t>
  </si>
  <si>
    <t>Selecteaza primul element de comparatie &gt;&gt;&gt;</t>
  </si>
  <si>
    <t>Selecteaza al doilea element de comparatie &gt;&gt;&gt;</t>
  </si>
  <si>
    <t>Selecteaza indicatorul &gt;&gt;&gt;</t>
  </si>
  <si>
    <t>Selecteaza anul &gt;&gt;&gt;</t>
  </si>
  <si>
    <t>Selecteaza anul             &gt;&gt;&gt;</t>
  </si>
  <si>
    <t>Selecteaza indicatorul  &gt;&gt;&gt;</t>
  </si>
  <si>
    <t>Ponderi in Cifra de afaceri</t>
  </si>
  <si>
    <t>Grad indatorare</t>
  </si>
  <si>
    <t>Lichiditate curenta</t>
  </si>
  <si>
    <t>EBITDA Operational</t>
  </si>
  <si>
    <r>
      <t xml:space="preserve">Nota: </t>
    </r>
    <r>
      <rPr>
        <b/>
        <u/>
        <sz val="11"/>
        <color theme="1"/>
        <rFont val="Candara"/>
        <family val="2"/>
      </rPr>
      <t>EBITDA</t>
    </r>
    <r>
      <rPr>
        <sz val="11"/>
        <color theme="1"/>
        <rFont val="Candara"/>
        <family val="2"/>
      </rPr>
      <t xml:space="preserve"> e calculat pornind de la rezultatul net si include si elemente nerecurente cum ar fi dividendele, vanzari de active, altele.</t>
    </r>
  </si>
  <si>
    <r>
      <rPr>
        <b/>
        <u/>
        <sz val="11"/>
        <color theme="1"/>
        <rFont val="Candara"/>
        <family val="2"/>
      </rPr>
      <t>EBITDA operational</t>
    </r>
    <r>
      <rPr>
        <sz val="11"/>
        <color theme="1"/>
        <rFont val="Candara"/>
        <family val="2"/>
      </rPr>
      <t xml:space="preserve"> ia in calcul doar activitatea de exploatare, excluzand cheltuiala cu amortizarea, vanzarile de active, elementele nerecurente si activitatea financiara.</t>
    </r>
  </si>
  <si>
    <t>Intangible assets other than goodwill</t>
  </si>
  <si>
    <t>Investments in subsidiaries, joint ventures and associates</t>
  </si>
  <si>
    <t>Current inventories</t>
  </si>
  <si>
    <t>Trade and other current receivables</t>
  </si>
  <si>
    <t>Other current financial assets</t>
  </si>
  <si>
    <t>Other current non-financial assets</t>
  </si>
  <si>
    <t>Cash and cash equivalents</t>
  </si>
  <si>
    <t>Active imobilizante detinute in vederea vanzarii</t>
  </si>
  <si>
    <t>Non-current assets or disposal groups classified as held for sale or as held for distribution to owners</t>
  </si>
  <si>
    <t>Other reserves</t>
  </si>
  <si>
    <t>Alte datorii financiare pe termen lung</t>
  </si>
  <si>
    <t>Other non-current financial liabilities</t>
  </si>
  <si>
    <t>Other non-current non-financial liabilities</t>
  </si>
  <si>
    <t xml:space="preserve">Datorii comerciale </t>
  </si>
  <si>
    <t>Alte datorii financiare curente</t>
  </si>
  <si>
    <t>Other current financial liabilities</t>
  </si>
  <si>
    <t>Alte datorii nefinanciare curente</t>
  </si>
  <si>
    <t>Other current non-financial liabilities</t>
  </si>
  <si>
    <t>Venituri</t>
  </si>
  <si>
    <t>Other Income</t>
  </si>
  <si>
    <t xml:space="preserve">Variatia stocurilor </t>
  </si>
  <si>
    <t>Increase (decrease) in inventories of finished goods and work in progress</t>
  </si>
  <si>
    <t xml:space="preserve">Cheltuieli cu materiile prime si consumabile </t>
  </si>
  <si>
    <t xml:space="preserve">Cheltuieli cu salariile si beneficiile angajatilor </t>
  </si>
  <si>
    <t xml:space="preserve">Cheltuieli cu deprecierea si amortizarea activelor </t>
  </si>
  <si>
    <t>Cheltuieli operationale</t>
  </si>
  <si>
    <t xml:space="preserve">Alte castiguri sau pierderi </t>
  </si>
  <si>
    <t>Profit (pierdere) din activitati operationale</t>
  </si>
  <si>
    <t>Profit (loss) from operating activities</t>
  </si>
  <si>
    <t>Venituri financiare</t>
  </si>
  <si>
    <t>Finance Income</t>
  </si>
  <si>
    <t>Cheltuieli financiare</t>
  </si>
  <si>
    <t>Detalii indicator "Venituri"</t>
  </si>
  <si>
    <t>Ponderi in Venituri</t>
  </si>
  <si>
    <t>Detalii indicator "Alte venituri"</t>
  </si>
  <si>
    <t>Fond comercial</t>
  </si>
  <si>
    <t>Goodwill</t>
  </si>
  <si>
    <t>Investments accounted for using equity method</t>
  </si>
  <si>
    <t>Other financial non-current assets</t>
  </si>
  <si>
    <t>Prime de emisiune</t>
  </si>
  <si>
    <t>Capital propriu atribuibil detinătorilor de capital propriu ai societatii mamă</t>
  </si>
  <si>
    <t>Equity attributable to equity holders of the parent</t>
  </si>
  <si>
    <t>Interese minoritare</t>
  </si>
  <si>
    <t>Non-controlling interests</t>
  </si>
  <si>
    <t>Total equity</t>
  </si>
  <si>
    <t>Other non-current provisions</t>
  </si>
  <si>
    <t xml:space="preserve">Datorii privind impozitul amanat </t>
  </si>
  <si>
    <t>Trade and other current payables</t>
  </si>
  <si>
    <t>Capitaluri si datorii</t>
  </si>
  <si>
    <t>Total Equity and liabilities</t>
  </si>
  <si>
    <t>Employee benefits expense</t>
  </si>
  <si>
    <t>Other gains (losses)</t>
  </si>
  <si>
    <t>Finance costs</t>
  </si>
  <si>
    <t>Venituri din asociati</t>
  </si>
  <si>
    <t>Share of profit (loss) of associates and joint ventures accounted for using equity method</t>
  </si>
  <si>
    <t>Profit / (loss) before tax</t>
  </si>
  <si>
    <t>Tax income (expense)</t>
  </si>
  <si>
    <t>Profitul/pierderea anului, atribuibil:</t>
  </si>
  <si>
    <t>Profit (loss) of the year, attributable to</t>
  </si>
  <si>
    <t>Equity holders of the parent</t>
  </si>
  <si>
    <t>Minority interest PL</t>
  </si>
  <si>
    <t>Profitul/Pierderea anului</t>
  </si>
  <si>
    <t>Profit (loss) from continuing operations</t>
  </si>
  <si>
    <t>Diferente de conversie aferente operatiunilor externe</t>
  </si>
  <si>
    <t>Differences from foreign operations</t>
  </si>
  <si>
    <t>Pierderi nete din reevaluarea imobilizarilor corporale</t>
  </si>
  <si>
    <t>Loss/gain from revaluation of fixed assets</t>
  </si>
  <si>
    <t>Impozitul amanat aferent rezultatului global</t>
  </si>
  <si>
    <t>Deffered profit tax alocated to the comprehensive income</t>
  </si>
  <si>
    <t>Rezultat global, atribuibil:</t>
  </si>
  <si>
    <t>Comprehensive income of the year, attributable to</t>
  </si>
  <si>
    <t>Rezultat global: Detinatorilor de capital propriu ai societatii mama</t>
  </si>
  <si>
    <t>Comprehensive income : Equity holders of the parent</t>
  </si>
  <si>
    <t>Rezultat global: Interese minoritare</t>
  </si>
  <si>
    <t>Comprehensive income : Minority interest PL</t>
  </si>
  <si>
    <t xml:space="preserve"> - Sales of intermediary goods and residual products</t>
  </si>
  <si>
    <t xml:space="preserve"> - Venituri din vanzari de semifabricate si produse reziduale</t>
  </si>
  <si>
    <t>Imobilizari necorporale, altele decat fondul comercial</t>
  </si>
  <si>
    <t>Titluri puse in echivalenta</t>
  </si>
  <si>
    <t>Actiuni detinute la entitatile afiliate, la entitatile asociate sau la entitatile controlate in comun</t>
  </si>
  <si>
    <t>Alte active financiare pe termen lung</t>
  </si>
  <si>
    <t>Stocuri curente</t>
  </si>
  <si>
    <t xml:space="preserve">Alte active curente financiare </t>
  </si>
  <si>
    <t>Alte active curente</t>
  </si>
  <si>
    <t>Numerar şi conturi bancare</t>
  </si>
  <si>
    <t>Total asset</t>
  </si>
  <si>
    <t>Alte datorii privind provizioane pe termen lung</t>
  </si>
  <si>
    <t>Alte datorii  nefinanciare pe termen lung</t>
  </si>
  <si>
    <t>Profit : Detinatorilor de capital propriu ai societatii mama</t>
  </si>
  <si>
    <t>Profit: Interese minoritare</t>
  </si>
  <si>
    <t>@ 6 luni</t>
  </si>
  <si>
    <t>6 luni 2017</t>
  </si>
  <si>
    <t>6 luni 2018</t>
  </si>
  <si>
    <t>6 luni 2019</t>
  </si>
  <si>
    <t>6 luni 2020</t>
  </si>
  <si>
    <t>6 luni 2021</t>
  </si>
  <si>
    <t>30 Iunie 2017</t>
  </si>
  <si>
    <t>30 Iunie 2018</t>
  </si>
  <si>
    <t>30 Iunie 2019</t>
  </si>
  <si>
    <t>30 Iunie 2020</t>
  </si>
  <si>
    <t>30 Iunie 2021</t>
  </si>
  <si>
    <t>Iun.</t>
  </si>
  <si>
    <t>6 LUNI</t>
  </si>
  <si>
    <t>Venituri (Vanzari)</t>
  </si>
  <si>
    <t>Ponderea de profit(pierdere) a asociatilor (Romgreen Universal (Green-Group))</t>
  </si>
  <si>
    <t>Profit net fara impactul ponderii de profit(pierdere) a asociatilor[Green-Group]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</si>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</sst>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_);_(@_)"/>
    <numFmt numFmtId="165" formatCode="_-* #,##0\ _l_e_i_-;\-* #,##0\ _l_e_i_-;_-* &quot;-&quot;??\ _l_e_i_-;_-@_-"/>
    <numFmt numFmtId="166" formatCode="_(* #,##0.00_);_(* \(#,##0.00\);_(* &quot;-&quot;_);_(@_)"/>
    <numFmt numFmtId="167" formatCode="_-* #,##0_-;\-* #,##0_-;_-* &quot;-&quot;??_-;_-@_-"/>
    <numFmt numFmtId="168" formatCode="_-* #,##0.00\ _l_e_i_-;\-* #,##0.00\ _l_e_i_-;_-* &quot;-&quot;??\ _l_e_i_-;_-@_-"/>
    <numFmt numFmtId="169" formatCode="#,##0\ [$lei-418];\-#,##0\ [$lei-418]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ndara"/>
      <family val="2"/>
    </font>
    <font>
      <b/>
      <sz val="10.5"/>
      <name val="Candara"/>
      <family val="2"/>
    </font>
    <font>
      <sz val="10.5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i/>
      <sz val="11"/>
      <name val="Candara"/>
      <family val="2"/>
    </font>
    <font>
      <sz val="11"/>
      <color theme="3" tint="-0.499984740745262"/>
      <name val="Candara"/>
      <family val="2"/>
    </font>
    <font>
      <b/>
      <sz val="11"/>
      <color theme="3" tint="-0.499984740745262"/>
      <name val="Candara"/>
      <family val="2"/>
    </font>
    <font>
      <b/>
      <i/>
      <sz val="11"/>
      <name val="Candara"/>
      <family val="2"/>
    </font>
    <font>
      <i/>
      <sz val="11"/>
      <color theme="1"/>
      <name val="Candara"/>
      <family val="2"/>
    </font>
    <font>
      <b/>
      <sz val="11"/>
      <color theme="0"/>
      <name val="Candara"/>
      <family val="2"/>
    </font>
    <font>
      <sz val="11"/>
      <color theme="0"/>
      <name val="Candara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indexed="8"/>
      <name val="Trebuchet MS"/>
      <family val="2"/>
    </font>
    <font>
      <b/>
      <sz val="18"/>
      <color theme="1"/>
      <name val="Candara"/>
      <family val="2"/>
    </font>
    <font>
      <b/>
      <sz val="11"/>
      <color theme="1"/>
      <name val="Candara"/>
      <family val="2"/>
    </font>
    <font>
      <sz val="11"/>
      <color theme="1"/>
      <name val="Calibri"/>
      <family val="2"/>
    </font>
    <font>
      <b/>
      <sz val="13.5"/>
      <color theme="1"/>
      <name val="Garamond"/>
      <family val="1"/>
    </font>
    <font>
      <sz val="14"/>
      <color theme="3" tint="-0.499984740745262"/>
      <name val="Candara"/>
      <family val="2"/>
    </font>
    <font>
      <u/>
      <sz val="14"/>
      <color theme="3" tint="-0.499984740745262"/>
      <name val="Candara"/>
      <family val="2"/>
    </font>
    <font>
      <b/>
      <u/>
      <sz val="11"/>
      <name val="Candara"/>
      <family val="2"/>
    </font>
    <font>
      <sz val="11"/>
      <name val="Calibri"/>
      <family val="2"/>
      <scheme val="minor"/>
    </font>
    <font>
      <i/>
      <sz val="10.5"/>
      <name val="Candara"/>
      <family val="2"/>
    </font>
    <font>
      <sz val="11"/>
      <color theme="3" tint="-0.249977111117893"/>
      <name val="Candara"/>
      <family val="2"/>
    </font>
    <font>
      <b/>
      <sz val="11"/>
      <color theme="3" tint="-0.249977111117893"/>
      <name val="Candara"/>
      <family val="2"/>
    </font>
    <font>
      <sz val="11"/>
      <color theme="3" tint="-0.249977111117893"/>
      <name val="Calibri"/>
      <family val="2"/>
      <scheme val="minor"/>
    </font>
    <font>
      <sz val="11.5"/>
      <color theme="1"/>
      <name val="Candara"/>
      <family val="2"/>
    </font>
    <font>
      <sz val="11"/>
      <color rgb="FFC00000"/>
      <name val="Candara"/>
      <family val="2"/>
    </font>
    <font>
      <b/>
      <sz val="16"/>
      <color theme="1"/>
      <name val="Candara"/>
      <family val="2"/>
    </font>
    <font>
      <b/>
      <sz val="12"/>
      <color theme="1"/>
      <name val="Candara"/>
      <family val="2"/>
    </font>
    <font>
      <i/>
      <u/>
      <sz val="11"/>
      <color theme="3" tint="-0.249977111117893"/>
      <name val="Candara"/>
      <family val="2"/>
    </font>
    <font>
      <sz val="12"/>
      <color theme="1"/>
      <name val="Candara"/>
      <family val="2"/>
    </font>
    <font>
      <u/>
      <sz val="11"/>
      <name val="Candara"/>
      <family val="2"/>
    </font>
    <font>
      <i/>
      <sz val="10.5"/>
      <color theme="3" tint="-0.249977111117893"/>
      <name val="Candara"/>
      <family val="2"/>
    </font>
    <font>
      <sz val="8"/>
      <name val="Calibri"/>
      <family val="2"/>
      <scheme val="minor"/>
    </font>
    <font>
      <b/>
      <u/>
      <sz val="11"/>
      <color theme="1"/>
      <name val="Candara"/>
      <family val="2"/>
    </font>
    <font>
      <sz val="9"/>
      <color rgb="FFFF0000"/>
      <name val="Verdana"/>
      <family val="2"/>
    </font>
    <font>
      <b/>
      <sz val="10"/>
      <name val="Candara"/>
      <family val="2"/>
    </font>
    <font>
      <i/>
      <sz val="10.5"/>
      <color theme="8" tint="-0.249977111117893"/>
      <name val="Candara"/>
      <family val="2"/>
    </font>
    <font>
      <sz val="11"/>
      <color rgb="FFFF0000"/>
      <name val="Candara"/>
      <family val="2"/>
    </font>
    <font>
      <b/>
      <sz val="11"/>
      <color rgb="FFFF0000"/>
      <name val="Candara"/>
      <family val="2"/>
    </font>
    <font>
      <b/>
      <i/>
      <sz val="11"/>
      <color theme="3" tint="-0.499984740745262"/>
      <name val="Candar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DashDot">
        <color theme="9" tint="-0.499984740745262"/>
      </left>
      <right/>
      <top style="mediumDashDot">
        <color theme="9" tint="-0.499984740745262"/>
      </top>
      <bottom style="mediumDashDot">
        <color theme="9" tint="-0.499984740745262"/>
      </bottom>
      <diagonal/>
    </border>
    <border>
      <left/>
      <right/>
      <top style="mediumDashDot">
        <color theme="9" tint="-0.499984740745262"/>
      </top>
      <bottom style="mediumDashDot">
        <color theme="9" tint="-0.499984740745262"/>
      </bottom>
      <diagonal/>
    </border>
    <border>
      <left/>
      <right style="mediumDashDot">
        <color theme="9" tint="-0.499984740745262"/>
      </right>
      <top style="mediumDashDot">
        <color theme="9" tint="-0.499984740745262"/>
      </top>
      <bottom style="mediumDashDot">
        <color theme="9" tint="-0.499984740745262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19" fillId="0" borderId="0" applyNumberFormat="0" applyFill="0" applyBorder="0" applyAlignment="0" applyProtection="0"/>
    <xf numFmtId="0" fontId="20" fillId="4" borderId="3" applyNumberFormat="0" applyBorder="0" applyProtection="0">
      <alignment vertical="center"/>
    </xf>
  </cellStyleXfs>
  <cellXfs count="225">
    <xf numFmtId="0" fontId="0" fillId="0" borderId="0" xfId="0"/>
    <xf numFmtId="0" fontId="6" fillId="0" borderId="0" xfId="0" applyFont="1"/>
    <xf numFmtId="164" fontId="8" fillId="2" borderId="0" xfId="3" applyNumberFormat="1" applyFont="1" applyFill="1" applyBorder="1" applyAlignment="1">
      <alignment vertical="center"/>
    </xf>
    <xf numFmtId="164" fontId="8" fillId="2" borderId="0" xfId="3" applyNumberFormat="1" applyFont="1" applyFill="1" applyBorder="1" applyAlignment="1">
      <alignment vertical="top" wrapText="1"/>
    </xf>
    <xf numFmtId="164" fontId="7" fillId="2" borderId="1" xfId="3" applyNumberFormat="1" applyFont="1" applyFill="1" applyBorder="1" applyAlignment="1">
      <alignment vertical="center"/>
    </xf>
    <xf numFmtId="3" fontId="7" fillId="2" borderId="1" xfId="0" applyNumberFormat="1" applyFont="1" applyFill="1" applyBorder="1"/>
    <xf numFmtId="10" fontId="7" fillId="2" borderId="1" xfId="2" applyNumberFormat="1" applyFont="1" applyFill="1" applyBorder="1"/>
    <xf numFmtId="164" fontId="8" fillId="2" borderId="0" xfId="0" applyNumberFormat="1" applyFont="1" applyFill="1" applyBorder="1"/>
    <xf numFmtId="164" fontId="9" fillId="2" borderId="0" xfId="4" applyNumberFormat="1" applyFont="1" applyFill="1" applyAlignment="1">
      <alignment vertical="center"/>
    </xf>
    <xf numFmtId="3" fontId="9" fillId="2" borderId="0" xfId="0" applyNumberFormat="1" applyFont="1" applyFill="1"/>
    <xf numFmtId="0" fontId="9" fillId="2" borderId="0" xfId="0" applyFont="1" applyFill="1"/>
    <xf numFmtId="165" fontId="9" fillId="2" borderId="0" xfId="1" applyNumberFormat="1" applyFont="1" applyFill="1"/>
    <xf numFmtId="164" fontId="10" fillId="2" borderId="1" xfId="3" applyNumberFormat="1" applyFont="1" applyFill="1" applyBorder="1" applyAlignment="1">
      <alignment vertical="center"/>
    </xf>
    <xf numFmtId="164" fontId="9" fillId="2" borderId="0" xfId="3" applyNumberFormat="1" applyFont="1" applyFill="1" applyAlignment="1">
      <alignment wrapText="1"/>
    </xf>
    <xf numFmtId="9" fontId="9" fillId="2" borderId="0" xfId="2" applyFont="1" applyFill="1"/>
    <xf numFmtId="164" fontId="9" fillId="2" borderId="0" xfId="3" applyNumberFormat="1" applyFont="1" applyFill="1" applyAlignment="1">
      <alignment vertical="center"/>
    </xf>
    <xf numFmtId="3" fontId="10" fillId="2" borderId="1" xfId="0" applyNumberFormat="1" applyFont="1" applyFill="1" applyBorder="1"/>
    <xf numFmtId="9" fontId="9" fillId="2" borderId="1" xfId="2" applyFont="1" applyFill="1" applyBorder="1"/>
    <xf numFmtId="164" fontId="9" fillId="2" borderId="0" xfId="3" applyNumberFormat="1" applyFont="1" applyFill="1" applyAlignment="1">
      <alignment vertical="top" wrapText="1"/>
    </xf>
    <xf numFmtId="3" fontId="9" fillId="2" borderId="0" xfId="0" applyNumberFormat="1" applyFont="1" applyFill="1" applyAlignment="1">
      <alignment vertical="center"/>
    </xf>
    <xf numFmtId="0" fontId="12" fillId="0" borderId="0" xfId="0" applyFont="1"/>
    <xf numFmtId="0" fontId="9" fillId="0" borderId="0" xfId="0" applyFont="1"/>
    <xf numFmtId="164" fontId="11" fillId="2" borderId="0" xfId="3" applyNumberFormat="1" applyFont="1" applyFill="1" applyAlignment="1">
      <alignment vertical="center"/>
    </xf>
    <xf numFmtId="164" fontId="14" fillId="2" borderId="1" xfId="3" applyNumberFormat="1" applyFont="1" applyFill="1" applyBorder="1" applyAlignment="1">
      <alignment vertical="center"/>
    </xf>
    <xf numFmtId="0" fontId="15" fillId="0" borderId="0" xfId="0" applyFont="1"/>
    <xf numFmtId="164" fontId="13" fillId="2" borderId="2" xfId="3" applyNumberFormat="1" applyFont="1" applyFill="1" applyBorder="1" applyAlignment="1">
      <alignment vertical="center"/>
    </xf>
    <xf numFmtId="165" fontId="13" fillId="2" borderId="2" xfId="1" applyNumberFormat="1" applyFont="1" applyFill="1" applyBorder="1" applyAlignment="1">
      <alignment horizontal="right"/>
    </xf>
    <xf numFmtId="9" fontId="12" fillId="2" borderId="2" xfId="2" applyFont="1" applyFill="1" applyBorder="1"/>
    <xf numFmtId="0" fontId="17" fillId="0" borderId="0" xfId="0" applyFont="1"/>
    <xf numFmtId="3" fontId="6" fillId="0" borderId="0" xfId="0" applyNumberFormat="1" applyFont="1"/>
    <xf numFmtId="164" fontId="10" fillId="2" borderId="0" xfId="3" applyNumberFormat="1" applyFont="1" applyFill="1" applyAlignment="1">
      <alignment vertical="center"/>
    </xf>
    <xf numFmtId="10" fontId="9" fillId="2" borderId="0" xfId="2" applyNumberFormat="1" applyFont="1" applyFill="1" applyAlignment="1">
      <alignment horizontal="right" wrapText="1"/>
    </xf>
    <xf numFmtId="166" fontId="9" fillId="2" borderId="0" xfId="3" applyNumberFormat="1" applyFont="1" applyFill="1" applyAlignment="1">
      <alignment horizontal="right" wrapText="1"/>
    </xf>
    <xf numFmtId="9" fontId="9" fillId="2" borderId="0" xfId="2" applyFont="1" applyFill="1" applyAlignment="1">
      <alignment horizontal="right" wrapText="1"/>
    </xf>
    <xf numFmtId="164" fontId="9" fillId="2" borderId="0" xfId="3" applyNumberFormat="1" applyFont="1" applyFill="1" applyAlignment="1">
      <alignment horizontal="right" wrapText="1"/>
    </xf>
    <xf numFmtId="0" fontId="6" fillId="0" borderId="0" xfId="0" applyFont="1" applyAlignment="1">
      <alignment vertical="center"/>
    </xf>
    <xf numFmtId="164" fontId="9" fillId="2" borderId="1" xfId="3" applyNumberFormat="1" applyFont="1" applyFill="1" applyBorder="1" applyAlignment="1">
      <alignment wrapText="1"/>
    </xf>
    <xf numFmtId="10" fontId="8" fillId="2" borderId="1" xfId="2" applyNumberFormat="1" applyFont="1" applyFill="1" applyBorder="1"/>
    <xf numFmtId="0" fontId="3" fillId="0" borderId="0" xfId="0" applyFont="1"/>
    <xf numFmtId="0" fontId="3" fillId="5" borderId="0" xfId="0" applyFont="1" applyFill="1"/>
    <xf numFmtId="0" fontId="3" fillId="7" borderId="0" xfId="0" applyFont="1" applyFill="1"/>
    <xf numFmtId="0" fontId="3" fillId="6" borderId="0" xfId="0" applyFont="1" applyFill="1" applyAlignment="1"/>
    <xf numFmtId="0" fontId="3" fillId="0" borderId="0" xfId="0" applyFont="1" applyAlignment="1">
      <alignment horizontal="center"/>
    </xf>
    <xf numFmtId="167" fontId="3" fillId="0" borderId="0" xfId="1" applyNumberFormat="1" applyFont="1"/>
    <xf numFmtId="167" fontId="3" fillId="0" borderId="0" xfId="0" applyNumberFormat="1" applyFont="1" applyAlignment="1">
      <alignment horizontal="center"/>
    </xf>
    <xf numFmtId="165" fontId="2" fillId="2" borderId="0" xfId="1" applyNumberFormat="1" applyFont="1" applyFill="1"/>
    <xf numFmtId="3" fontId="9" fillId="2" borderId="1" xfId="0" applyNumberFormat="1" applyFont="1" applyFill="1" applyBorder="1"/>
    <xf numFmtId="3" fontId="10" fillId="2" borderId="2" xfId="0" applyNumberFormat="1" applyFont="1" applyFill="1" applyBorder="1"/>
    <xf numFmtId="0" fontId="34" fillId="0" borderId="0" xfId="0" applyFont="1"/>
    <xf numFmtId="0" fontId="1" fillId="0" borderId="0" xfId="0" applyFont="1"/>
    <xf numFmtId="0" fontId="1" fillId="5" borderId="0" xfId="0" applyFont="1" applyFill="1"/>
    <xf numFmtId="167" fontId="3" fillId="0" borderId="0" xfId="0" applyNumberFormat="1" applyFont="1"/>
    <xf numFmtId="10" fontId="8" fillId="2" borderId="0" xfId="2" applyNumberFormat="1" applyFont="1" applyFill="1"/>
    <xf numFmtId="3" fontId="8" fillId="2" borderId="0" xfId="0" applyNumberFormat="1" applyFont="1" applyFill="1"/>
    <xf numFmtId="164" fontId="9" fillId="2" borderId="0" xfId="2" applyNumberFormat="1" applyFont="1" applyFill="1"/>
    <xf numFmtId="43" fontId="3" fillId="0" borderId="0" xfId="1" applyFont="1"/>
    <xf numFmtId="0" fontId="3" fillId="7" borderId="0" xfId="0" applyFont="1" applyFill="1" applyAlignment="1">
      <alignment horizontal="center"/>
    </xf>
    <xf numFmtId="167" fontId="3" fillId="7" borderId="0" xfId="0" applyNumberFormat="1" applyFont="1" applyFill="1"/>
    <xf numFmtId="167" fontId="1" fillId="0" borderId="0" xfId="1" applyNumberFormat="1" applyFont="1"/>
    <xf numFmtId="167" fontId="1" fillId="0" borderId="0" xfId="0" applyNumberFormat="1" applyFont="1"/>
    <xf numFmtId="0" fontId="22" fillId="0" borderId="0" xfId="0" applyFont="1"/>
    <xf numFmtId="0" fontId="22" fillId="8" borderId="0" xfId="0" applyFont="1" applyFill="1" applyAlignment="1">
      <alignment horizontal="center"/>
    </xf>
    <xf numFmtId="167" fontId="22" fillId="0" borderId="0" xfId="1" applyNumberFormat="1" applyFont="1"/>
    <xf numFmtId="0" fontId="1" fillId="0" borderId="0" xfId="0" applyFont="1" applyAlignment="1">
      <alignment horizontal="center"/>
    </xf>
    <xf numFmtId="0" fontId="1" fillId="9" borderId="0" xfId="0" applyFont="1" applyFill="1"/>
    <xf numFmtId="0" fontId="22" fillId="9" borderId="0" xfId="0" applyFont="1" applyFill="1"/>
    <xf numFmtId="0" fontId="9" fillId="2" borderId="0" xfId="4" applyNumberFormat="1" applyFont="1" applyFill="1" applyAlignment="1">
      <alignment horizontal="center" vertical="center"/>
    </xf>
    <xf numFmtId="3" fontId="1" fillId="0" borderId="0" xfId="0" applyNumberFormat="1" applyFont="1"/>
    <xf numFmtId="0" fontId="22" fillId="2" borderId="0" xfId="0" applyFont="1" applyFill="1" applyAlignment="1">
      <alignment horizontal="left"/>
    </xf>
    <xf numFmtId="0" fontId="36" fillId="8" borderId="0" xfId="0" applyFont="1" applyFill="1" applyAlignment="1">
      <alignment horizontal="center"/>
    </xf>
    <xf numFmtId="167" fontId="36" fillId="8" borderId="0" xfId="1" applyNumberFormat="1" applyFont="1" applyFill="1" applyAlignment="1">
      <alignment horizontal="center"/>
    </xf>
    <xf numFmtId="0" fontId="38" fillId="0" borderId="0" xfId="0" applyFont="1"/>
    <xf numFmtId="167" fontId="38" fillId="0" borderId="0" xfId="1" applyNumberFormat="1" applyFont="1"/>
    <xf numFmtId="167" fontId="11" fillId="2" borderId="0" xfId="1" applyNumberFormat="1" applyFont="1" applyFill="1" applyAlignment="1">
      <alignment horizontal="center" wrapText="1"/>
    </xf>
    <xf numFmtId="0" fontId="10" fillId="0" borderId="0" xfId="0" applyFont="1"/>
    <xf numFmtId="9" fontId="10" fillId="2" borderId="1" xfId="2" applyFont="1" applyFill="1" applyBorder="1"/>
    <xf numFmtId="3" fontId="9" fillId="0" borderId="0" xfId="0" applyNumberFormat="1" applyFont="1"/>
    <xf numFmtId="10" fontId="9" fillId="0" borderId="0" xfId="2" applyNumberFormat="1" applyFont="1"/>
    <xf numFmtId="10" fontId="9" fillId="2" borderId="0" xfId="2" applyNumberFormat="1" applyFont="1" applyFill="1"/>
    <xf numFmtId="164" fontId="8" fillId="2" borderId="0" xfId="3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6" fillId="0" borderId="0" xfId="0" applyNumberFormat="1" applyFont="1"/>
    <xf numFmtId="9" fontId="3" fillId="0" borderId="0" xfId="2" applyFont="1"/>
    <xf numFmtId="169" fontId="3" fillId="0" borderId="0" xfId="1" applyNumberFormat="1" applyFont="1"/>
    <xf numFmtId="0" fontId="33" fillId="0" borderId="0" xfId="0" applyFont="1"/>
    <xf numFmtId="164" fontId="1" fillId="0" borderId="0" xfId="0" applyNumberFormat="1" applyFont="1"/>
    <xf numFmtId="9" fontId="17" fillId="0" borderId="0" xfId="2" applyFont="1"/>
    <xf numFmtId="10" fontId="1" fillId="0" borderId="0" xfId="2" applyNumberFormat="1" applyFont="1"/>
    <xf numFmtId="0" fontId="3" fillId="10" borderId="0" xfId="0" applyFont="1" applyFill="1"/>
    <xf numFmtId="0" fontId="43" fillId="11" borderId="0" xfId="0" applyFont="1" applyFill="1"/>
    <xf numFmtId="165" fontId="43" fillId="11" borderId="0" xfId="1" applyNumberFormat="1" applyFont="1" applyFill="1"/>
    <xf numFmtId="164" fontId="10" fillId="5" borderId="1" xfId="3" applyNumberFormat="1" applyFont="1" applyFill="1" applyBorder="1" applyAlignment="1">
      <alignment vertical="center"/>
    </xf>
    <xf numFmtId="3" fontId="9" fillId="5" borderId="1" xfId="0" applyNumberFormat="1" applyFont="1" applyFill="1" applyBorder="1"/>
    <xf numFmtId="9" fontId="9" fillId="5" borderId="1" xfId="2" applyFont="1" applyFill="1" applyBorder="1"/>
    <xf numFmtId="0" fontId="22" fillId="12" borderId="0" xfId="0" applyFont="1" applyFill="1"/>
    <xf numFmtId="0" fontId="22" fillId="13" borderId="0" xfId="0" applyFont="1" applyFill="1"/>
    <xf numFmtId="0" fontId="22" fillId="13" borderId="0" xfId="0" applyFont="1" applyFill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164" fontId="9" fillId="5" borderId="0" xfId="3" applyNumberFormat="1" applyFont="1" applyFill="1" applyAlignment="1">
      <alignment wrapText="1"/>
    </xf>
    <xf numFmtId="10" fontId="9" fillId="5" borderId="0" xfId="2" applyNumberFormat="1" applyFont="1" applyFill="1" applyAlignment="1">
      <alignment horizontal="right" wrapText="1"/>
    </xf>
    <xf numFmtId="166" fontId="9" fillId="5" borderId="0" xfId="3" applyNumberFormat="1" applyFont="1" applyFill="1" applyAlignment="1">
      <alignment horizontal="right" wrapText="1"/>
    </xf>
    <xf numFmtId="9" fontId="9" fillId="5" borderId="0" xfId="2" applyFont="1" applyFill="1" applyAlignment="1">
      <alignment horizontal="right" wrapText="1"/>
    </xf>
    <xf numFmtId="164" fontId="9" fillId="5" borderId="0" xfId="3" applyNumberFormat="1" applyFont="1" applyFill="1" applyAlignment="1">
      <alignment horizontal="right" wrapText="1"/>
    </xf>
    <xf numFmtId="167" fontId="11" fillId="5" borderId="0" xfId="1" applyNumberFormat="1" applyFont="1" applyFill="1" applyAlignment="1">
      <alignment horizontal="center" wrapText="1"/>
    </xf>
    <xf numFmtId="164" fontId="39" fillId="5" borderId="0" xfId="5" applyNumberFormat="1" applyFont="1" applyFill="1" applyAlignment="1">
      <alignment wrapText="1"/>
    </xf>
    <xf numFmtId="164" fontId="9" fillId="5" borderId="0" xfId="3" applyNumberFormat="1" applyFont="1" applyFill="1" applyAlignment="1">
      <alignment vertical="center"/>
    </xf>
    <xf numFmtId="164" fontId="10" fillId="5" borderId="0" xfId="3" applyNumberFormat="1" applyFont="1" applyFill="1" applyAlignment="1">
      <alignment vertical="center"/>
    </xf>
    <xf numFmtId="0" fontId="23" fillId="14" borderId="0" xfId="0" applyFont="1" applyFill="1" applyAlignment="1">
      <alignment vertical="center"/>
    </xf>
    <xf numFmtId="0" fontId="0" fillId="14" borderId="0" xfId="0" applyFill="1"/>
    <xf numFmtId="0" fontId="18" fillId="14" borderId="0" xfId="0" applyFont="1" applyFill="1" applyAlignment="1">
      <alignment vertical="center"/>
    </xf>
    <xf numFmtId="0" fontId="24" fillId="14" borderId="0" xfId="0" applyFont="1" applyFill="1" applyAlignment="1">
      <alignment horizontal="justify" vertical="center"/>
    </xf>
    <xf numFmtId="0" fontId="25" fillId="14" borderId="0" xfId="0" applyFont="1" applyFill="1"/>
    <xf numFmtId="0" fontId="12" fillId="14" borderId="0" xfId="0" applyFont="1" applyFill="1"/>
    <xf numFmtId="0" fontId="6" fillId="14" borderId="0" xfId="0" applyFont="1" applyFill="1"/>
    <xf numFmtId="0" fontId="26" fillId="14" borderId="0" xfId="5" applyFont="1" applyFill="1" applyAlignment="1"/>
    <xf numFmtId="0" fontId="9" fillId="13" borderId="0" xfId="0" applyFont="1" applyFill="1" applyAlignment="1">
      <alignment horizontal="left" vertical="top" wrapText="1"/>
    </xf>
    <xf numFmtId="0" fontId="0" fillId="13" borderId="0" xfId="0" applyFill="1"/>
    <xf numFmtId="0" fontId="9" fillId="13" borderId="0" xfId="0" applyFont="1" applyFill="1" applyAlignment="1">
      <alignment vertical="top" wrapText="1"/>
    </xf>
    <xf numFmtId="0" fontId="30" fillId="13" borderId="0" xfId="0" applyFont="1" applyFill="1" applyAlignment="1">
      <alignment vertical="top" wrapText="1"/>
    </xf>
    <xf numFmtId="0" fontId="10" fillId="13" borderId="0" xfId="0" applyFont="1" applyFill="1" applyAlignment="1">
      <alignment vertical="top" wrapText="1"/>
    </xf>
    <xf numFmtId="0" fontId="31" fillId="13" borderId="0" xfId="0" applyFont="1" applyFill="1" applyAlignment="1">
      <alignment vertical="top" wrapText="1"/>
    </xf>
    <xf numFmtId="0" fontId="29" fillId="13" borderId="0" xfId="0" applyFont="1" applyFill="1"/>
    <xf numFmtId="0" fontId="28" fillId="13" borderId="0" xfId="0" applyFont="1" applyFill="1"/>
    <xf numFmtId="0" fontId="32" fillId="13" borderId="0" xfId="0" applyFont="1" applyFill="1"/>
    <xf numFmtId="0" fontId="40" fillId="13" borderId="0" xfId="0" applyFont="1" applyFill="1"/>
    <xf numFmtId="164" fontId="16" fillId="12" borderId="1" xfId="3" applyNumberFormat="1" applyFont="1" applyFill="1" applyBorder="1" applyAlignment="1">
      <alignment vertical="center"/>
    </xf>
    <xf numFmtId="0" fontId="16" fillId="12" borderId="1" xfId="0" applyFont="1" applyFill="1" applyBorder="1" applyAlignment="1">
      <alignment horizontal="center"/>
    </xf>
    <xf numFmtId="0" fontId="22" fillId="2" borderId="0" xfId="0" applyFont="1" applyFill="1"/>
    <xf numFmtId="0" fontId="22" fillId="2" borderId="5" xfId="0" applyFont="1" applyFill="1" applyBorder="1"/>
    <xf numFmtId="164" fontId="9" fillId="2" borderId="6" xfId="3" applyNumberFormat="1" applyFont="1" applyFill="1" applyBorder="1" applyAlignment="1">
      <alignment vertical="center"/>
    </xf>
    <xf numFmtId="3" fontId="9" fillId="2" borderId="6" xfId="0" applyNumberFormat="1" applyFont="1" applyFill="1" applyBorder="1"/>
    <xf numFmtId="164" fontId="9" fillId="2" borderId="6" xfId="3" applyNumberFormat="1" applyFont="1" applyFill="1" applyBorder="1" applyAlignment="1">
      <alignment wrapText="1"/>
    </xf>
    <xf numFmtId="9" fontId="9" fillId="2" borderId="0" xfId="2" applyFont="1" applyFill="1" applyAlignment="1">
      <alignment horizontal="center" vertical="center"/>
    </xf>
    <xf numFmtId="9" fontId="9" fillId="2" borderId="0" xfId="2" applyFont="1" applyFill="1" applyAlignment="1">
      <alignment horizontal="center" wrapText="1"/>
    </xf>
    <xf numFmtId="9" fontId="9" fillId="2" borderId="0" xfId="2" applyFont="1" applyFill="1" applyAlignment="1">
      <alignment horizontal="center"/>
    </xf>
    <xf numFmtId="164" fontId="9" fillId="12" borderId="0" xfId="3" applyNumberFormat="1" applyFont="1" applyFill="1" applyAlignment="1">
      <alignment vertical="center"/>
    </xf>
    <xf numFmtId="164" fontId="9" fillId="12" borderId="6" xfId="3" applyNumberFormat="1" applyFont="1" applyFill="1" applyBorder="1" applyAlignment="1">
      <alignment vertical="center"/>
    </xf>
    <xf numFmtId="9" fontId="9" fillId="12" borderId="0" xfId="2" applyFont="1" applyFill="1" applyAlignment="1">
      <alignment horizontal="center" vertical="center"/>
    </xf>
    <xf numFmtId="164" fontId="7" fillId="12" borderId="1" xfId="3" applyNumberFormat="1" applyFont="1" applyFill="1" applyBorder="1" applyAlignment="1">
      <alignment vertical="center" wrapText="1"/>
    </xf>
    <xf numFmtId="0" fontId="44" fillId="12" borderId="1" xfId="0" applyFont="1" applyFill="1" applyBorder="1" applyAlignment="1">
      <alignment horizontal="center" vertical="center" wrapText="1"/>
    </xf>
    <xf numFmtId="10" fontId="44" fillId="12" borderId="1" xfId="2" applyNumberFormat="1" applyFont="1" applyFill="1" applyBorder="1" applyAlignment="1">
      <alignment horizontal="center" vertical="center" wrapText="1"/>
    </xf>
    <xf numFmtId="164" fontId="8" fillId="13" borderId="0" xfId="3" applyNumberFormat="1" applyFont="1" applyFill="1" applyBorder="1" applyAlignment="1">
      <alignment vertical="center"/>
    </xf>
    <xf numFmtId="3" fontId="7" fillId="13" borderId="1" xfId="0" applyNumberFormat="1" applyFont="1" applyFill="1" applyBorder="1"/>
    <xf numFmtId="164" fontId="8" fillId="13" borderId="0" xfId="0" applyNumberFormat="1" applyFont="1" applyFill="1" applyBorder="1"/>
    <xf numFmtId="164" fontId="7" fillId="13" borderId="1" xfId="3" applyNumberFormat="1" applyFont="1" applyFill="1" applyBorder="1" applyAlignment="1">
      <alignment vertical="center"/>
    </xf>
    <xf numFmtId="0" fontId="22" fillId="5" borderId="0" xfId="0" applyFont="1" applyFill="1" applyAlignment="1">
      <alignment horizontal="left"/>
    </xf>
    <xf numFmtId="0" fontId="1" fillId="5" borderId="0" xfId="0" applyFont="1" applyFill="1" applyAlignment="1">
      <alignment vertical="center"/>
    </xf>
    <xf numFmtId="0" fontId="1" fillId="13" borderId="0" xfId="0" applyFont="1" applyFill="1"/>
    <xf numFmtId="0" fontId="1" fillId="13" borderId="0" xfId="0" applyFont="1" applyFill="1" applyAlignment="1">
      <alignment vertical="center"/>
    </xf>
    <xf numFmtId="0" fontId="7" fillId="13" borderId="2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3" fillId="13" borderId="0" xfId="0" applyFont="1" applyFill="1"/>
    <xf numFmtId="0" fontId="22" fillId="5" borderId="0" xfId="0" applyFont="1" applyFill="1"/>
    <xf numFmtId="0" fontId="9" fillId="5" borderId="0" xfId="0" applyFont="1" applyFill="1"/>
    <xf numFmtId="167" fontId="9" fillId="5" borderId="0" xfId="1" applyNumberFormat="1" applyFont="1" applyFill="1"/>
    <xf numFmtId="9" fontId="9" fillId="5" borderId="0" xfId="2" applyFont="1" applyFill="1"/>
    <xf numFmtId="0" fontId="34" fillId="5" borderId="0" xfId="0" applyFont="1" applyFill="1"/>
    <xf numFmtId="167" fontId="3" fillId="5" borderId="0" xfId="0" applyNumberFormat="1" applyFont="1" applyFill="1"/>
    <xf numFmtId="9" fontId="1" fillId="0" borderId="0" xfId="2" applyFont="1"/>
    <xf numFmtId="0" fontId="46" fillId="0" borderId="0" xfId="0" applyFont="1" applyAlignment="1">
      <alignment horizontal="center"/>
    </xf>
    <xf numFmtId="0" fontId="47" fillId="8" borderId="0" xfId="0" applyFont="1" applyFill="1" applyAlignment="1">
      <alignment horizontal="center"/>
    </xf>
    <xf numFmtId="167" fontId="46" fillId="0" borderId="0" xfId="1" applyNumberFormat="1" applyFont="1"/>
    <xf numFmtId="167" fontId="47" fillId="0" borderId="0" xfId="1" applyNumberFormat="1" applyFont="1"/>
    <xf numFmtId="0" fontId="46" fillId="0" borderId="0" xfId="0" applyFont="1"/>
    <xf numFmtId="164" fontId="8" fillId="13" borderId="0" xfId="3" applyNumberFormat="1" applyFont="1" applyFill="1" applyBorder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10" fontId="8" fillId="2" borderId="0" xfId="2" applyNumberFormat="1" applyFont="1" applyFill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13" borderId="0" xfId="0" applyFont="1" applyFill="1" applyAlignment="1">
      <alignment vertical="center" wrapText="1"/>
    </xf>
    <xf numFmtId="164" fontId="7" fillId="2" borderId="1" xfId="3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10" fontId="8" fillId="2" borderId="1" xfId="2" applyNumberFormat="1" applyFont="1" applyFill="1" applyBorder="1" applyAlignment="1">
      <alignment vertical="center" wrapText="1"/>
    </xf>
    <xf numFmtId="10" fontId="7" fillId="2" borderId="1" xfId="2" applyNumberFormat="1" applyFont="1" applyFill="1" applyBorder="1" applyAlignment="1">
      <alignment vertical="center" wrapText="1"/>
    </xf>
    <xf numFmtId="164" fontId="8" fillId="2" borderId="0" xfId="0" applyNumberFormat="1" applyFont="1" applyFill="1" applyBorder="1" applyAlignment="1">
      <alignment vertical="center" wrapText="1"/>
    </xf>
    <xf numFmtId="164" fontId="8" fillId="13" borderId="0" xfId="0" applyNumberFormat="1" applyFont="1" applyFill="1" applyBorder="1" applyAlignment="1">
      <alignment vertical="center" wrapText="1"/>
    </xf>
    <xf numFmtId="10" fontId="9" fillId="2" borderId="0" xfId="2" applyNumberFormat="1" applyFont="1" applyFill="1" applyAlignment="1">
      <alignment vertical="center" wrapText="1"/>
    </xf>
    <xf numFmtId="164" fontId="7" fillId="13" borderId="1" xfId="3" applyNumberFormat="1" applyFont="1" applyFill="1" applyBorder="1" applyAlignment="1">
      <alignment vertical="center" wrapText="1"/>
    </xf>
    <xf numFmtId="3" fontId="10" fillId="5" borderId="1" xfId="0" applyNumberFormat="1" applyFont="1" applyFill="1" applyBorder="1"/>
    <xf numFmtId="9" fontId="10" fillId="5" borderId="1" xfId="2" applyFont="1" applyFill="1" applyBorder="1"/>
    <xf numFmtId="168" fontId="1" fillId="0" borderId="0" xfId="0" applyNumberFormat="1" applyFont="1"/>
    <xf numFmtId="0" fontId="1" fillId="3" borderId="0" xfId="0" applyFont="1" applyFill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164" fontId="9" fillId="2" borderId="0" xfId="3" applyNumberFormat="1" applyFont="1" applyFill="1" applyAlignment="1">
      <alignment vertical="center" wrapText="1"/>
    </xf>
    <xf numFmtId="164" fontId="10" fillId="5" borderId="1" xfId="3" applyNumberFormat="1" applyFont="1" applyFill="1" applyBorder="1" applyAlignment="1">
      <alignment vertical="center" wrapText="1"/>
    </xf>
    <xf numFmtId="164" fontId="10" fillId="5" borderId="1" xfId="3" applyNumberFormat="1" applyFont="1" applyFill="1" applyBorder="1" applyAlignment="1">
      <alignment wrapText="1"/>
    </xf>
    <xf numFmtId="3" fontId="48" fillId="2" borderId="2" xfId="0" applyNumberFormat="1" applyFont="1" applyFill="1" applyBorder="1"/>
    <xf numFmtId="167" fontId="15" fillId="0" borderId="0" xfId="0" applyNumberFormat="1" applyFont="1" applyAlignment="1">
      <alignment horizontal="center"/>
    </xf>
    <xf numFmtId="164" fontId="10" fillId="2" borderId="0" xfId="3" applyNumberFormat="1" applyFont="1" applyFill="1" applyBorder="1" applyAlignment="1">
      <alignment vertical="center"/>
    </xf>
    <xf numFmtId="3" fontId="10" fillId="2" borderId="0" xfId="0" applyNumberFormat="1" applyFont="1" applyFill="1" applyBorder="1"/>
    <xf numFmtId="3" fontId="9" fillId="2" borderId="0" xfId="0" applyNumberFormat="1" applyFont="1" applyFill="1" applyBorder="1"/>
    <xf numFmtId="164" fontId="14" fillId="2" borderId="0" xfId="3" applyNumberFormat="1" applyFont="1" applyFill="1" applyBorder="1" applyAlignment="1">
      <alignment vertical="center"/>
    </xf>
    <xf numFmtId="9" fontId="9" fillId="2" borderId="0" xfId="2" applyFont="1" applyFill="1" applyBorder="1"/>
    <xf numFmtId="9" fontId="10" fillId="2" borderId="0" xfId="2" applyFont="1" applyFill="1" applyBorder="1"/>
    <xf numFmtId="0" fontId="22" fillId="2" borderId="0" xfId="0" applyFont="1" applyFill="1" applyAlignment="1">
      <alignment vertical="center" wrapText="1"/>
    </xf>
    <xf numFmtId="164" fontId="9" fillId="12" borderId="0" xfId="3" applyNumberFormat="1" applyFont="1" applyFill="1" applyAlignment="1">
      <alignment vertical="center" wrapText="1"/>
    </xf>
    <xf numFmtId="9" fontId="9" fillId="2" borderId="7" xfId="2" applyFont="1" applyFill="1" applyBorder="1" applyAlignment="1">
      <alignment horizontal="center"/>
    </xf>
    <xf numFmtId="164" fontId="9" fillId="2" borderId="6" xfId="3" applyNumberFormat="1" applyFont="1" applyFill="1" applyBorder="1" applyAlignment="1">
      <alignment vertical="center" wrapText="1"/>
    </xf>
    <xf numFmtId="0" fontId="22" fillId="2" borderId="5" xfId="0" applyFont="1" applyFill="1" applyBorder="1" applyAlignment="1">
      <alignment vertical="center" wrapText="1"/>
    </xf>
    <xf numFmtId="164" fontId="9" fillId="12" borderId="6" xfId="3" applyNumberFormat="1" applyFont="1" applyFill="1" applyBorder="1" applyAlignment="1">
      <alignment vertical="center" wrapText="1"/>
    </xf>
    <xf numFmtId="3" fontId="9" fillId="2" borderId="6" xfId="0" applyNumberFormat="1" applyFont="1" applyFill="1" applyBorder="1" applyAlignment="1">
      <alignment vertical="center" wrapText="1"/>
    </xf>
    <xf numFmtId="9" fontId="9" fillId="2" borderId="7" xfId="2" applyFont="1" applyFill="1" applyBorder="1" applyAlignment="1">
      <alignment horizontal="center" vertical="center" wrapText="1"/>
    </xf>
    <xf numFmtId="0" fontId="45" fillId="13" borderId="0" xfId="0" applyFont="1" applyFill="1" applyAlignment="1">
      <alignment horizontal="left" vertical="top" wrapText="1"/>
    </xf>
    <xf numFmtId="0" fontId="37" fillId="13" borderId="0" xfId="0" applyFont="1" applyFill="1" applyAlignment="1">
      <alignment horizontal="left" vertical="top" wrapText="1"/>
    </xf>
    <xf numFmtId="0" fontId="35" fillId="5" borderId="0" xfId="0" applyFont="1" applyFill="1" applyAlignment="1">
      <alignment horizontal="left"/>
    </xf>
    <xf numFmtId="0" fontId="21" fillId="14" borderId="0" xfId="0" applyFont="1" applyFill="1" applyAlignment="1">
      <alignment horizontal="left"/>
    </xf>
    <xf numFmtId="0" fontId="40" fillId="13" borderId="0" xfId="0" applyFont="1" applyFill="1" applyAlignment="1">
      <alignment horizontal="left" vertical="top" wrapText="1"/>
    </xf>
    <xf numFmtId="0" fontId="29" fillId="13" borderId="0" xfId="0" applyFont="1" applyFill="1" applyAlignment="1">
      <alignment horizontal="left" vertical="top" wrapText="1"/>
    </xf>
    <xf numFmtId="0" fontId="11" fillId="13" borderId="0" xfId="0" applyFont="1" applyFill="1" applyAlignment="1">
      <alignment horizontal="left" vertical="top" wrapText="1"/>
    </xf>
    <xf numFmtId="0" fontId="9" fillId="13" borderId="0" xfId="0" applyFont="1" applyFill="1" applyAlignment="1">
      <alignment horizontal="left" vertical="top" wrapText="1"/>
    </xf>
    <xf numFmtId="0" fontId="10" fillId="13" borderId="0" xfId="0" applyFont="1" applyFill="1" applyAlignment="1">
      <alignment horizontal="left" vertical="top" wrapText="1"/>
    </xf>
    <xf numFmtId="0" fontId="14" fillId="13" borderId="0" xfId="0" applyFont="1" applyFill="1" applyAlignment="1">
      <alignment horizontal="left" vertical="top" wrapText="1"/>
    </xf>
    <xf numFmtId="0" fontId="16" fillId="12" borderId="1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10" fontId="44" fillId="12" borderId="1" xfId="2" applyNumberFormat="1" applyFont="1" applyFill="1" applyBorder="1" applyAlignment="1">
      <alignment horizontal="center" vertical="center" wrapText="1"/>
    </xf>
    <xf numFmtId="10" fontId="44" fillId="13" borderId="2" xfId="2" applyNumberFormat="1" applyFont="1" applyFill="1" applyBorder="1" applyAlignment="1">
      <alignment horizontal="center" vertical="center" wrapText="1"/>
    </xf>
    <xf numFmtId="10" fontId="44" fillId="13" borderId="4" xfId="2" applyNumberFormat="1" applyFont="1" applyFill="1" applyBorder="1" applyAlignment="1">
      <alignment horizontal="center" vertical="center" wrapText="1"/>
    </xf>
    <xf numFmtId="0" fontId="22" fillId="13" borderId="0" xfId="0" applyFont="1" applyFill="1" applyAlignment="1">
      <alignment horizontal="left"/>
    </xf>
    <xf numFmtId="164" fontId="7" fillId="13" borderId="2" xfId="3" applyNumberFormat="1" applyFont="1" applyFill="1" applyBorder="1" applyAlignment="1">
      <alignment horizontal="center" vertical="center" wrapText="1"/>
    </xf>
    <xf numFmtId="164" fontId="7" fillId="13" borderId="4" xfId="3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/>
    </xf>
    <xf numFmtId="0" fontId="22" fillId="5" borderId="0" xfId="0" applyFont="1" applyFill="1" applyAlignment="1">
      <alignment horizontal="left"/>
    </xf>
    <xf numFmtId="0" fontId="22" fillId="12" borderId="0" xfId="0" applyFont="1" applyFill="1" applyAlignment="1">
      <alignment horizontal="left"/>
    </xf>
  </cellXfs>
  <cellStyles count="7">
    <cellStyle name="Comma" xfId="1" builtinId="3"/>
    <cellStyle name="Gen_Black" xfId="6" xr:uid="{00000000-0005-0000-0000-000001000000}"/>
    <cellStyle name="Hyperlink" xfId="5" builtinId="8"/>
    <cellStyle name="Normal" xfId="0" builtinId="0"/>
    <cellStyle name="Normal_FSWS CONSO TERAPLAST IFRS FINAL" xfId="3" xr:uid="{00000000-0005-0000-0000-000004000000}"/>
    <cellStyle name="Normal_SHEET" xfId="4" xr:uid="{00000000-0005-0000-0000-000005000000}"/>
    <cellStyle name="Percent" xfId="2" builtinId="5"/>
  </cellStyles>
  <dxfs count="152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</dxfs>
  <tableStyles count="0" defaultTableStyle="TableStyleMedium2" defaultPivotStyle="PivotStyleLight16"/>
  <colors>
    <mruColors>
      <color rgb="FFE92823"/>
      <color rgb="FFEF6663"/>
      <color rgb="FFFF3B0D"/>
      <color rgb="FFE1E5EB"/>
      <color rgb="FF71AF47"/>
      <color rgb="FF6FAB47"/>
      <color rgb="FFCDCDCD"/>
      <color rgb="FFAED395"/>
      <color rgb="FF95C575"/>
      <color rgb="FFFF6D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GB" sz="1100">
                <a:solidFill>
                  <a:schemeClr val="bg1"/>
                </a:solidFill>
                <a:latin typeface="Candara" panose="020E0502030303020204" pitchFamily="34" charset="0"/>
              </a:rPr>
              <a:t>Evolutia indicatorului "Venituri"</a:t>
            </a:r>
          </a:p>
        </c:rich>
      </c:tx>
      <c:layout>
        <c:manualLayout>
          <c:xMode val="edge"/>
          <c:yMode val="edge"/>
          <c:x val="2.613340434669072E-3"/>
          <c:y val="3.2884439733607716E-3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0147484922298856E-2"/>
          <c:y val="0.13594311042469931"/>
          <c:w val="0.96834461831348051"/>
          <c:h val="0.70027093414423736"/>
        </c:manualLayout>
      </c:layout>
      <c:lineChart>
        <c:grouping val="standard"/>
        <c:varyColors val="0"/>
        <c:ser>
          <c:idx val="1"/>
          <c:order val="0"/>
          <c:spPr>
            <a:ln w="12700" cap="rnd">
              <a:solidFill>
                <a:schemeClr val="bg2">
                  <a:lumMod val="1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hiddenPage!$D$2:$H$2</c:f>
              <c:strCache>
                <c:ptCount val="5"/>
                <c:pt idx="0">
                  <c:v>6 luni 2017</c:v>
                </c:pt>
                <c:pt idx="1">
                  <c:v>6 luni 2018</c:v>
                </c:pt>
                <c:pt idx="2">
                  <c:v>6 luni 2019</c:v>
                </c:pt>
                <c:pt idx="3">
                  <c:v>6 luni 2020</c:v>
                </c:pt>
                <c:pt idx="4">
                  <c:v>6 luni 2021</c:v>
                </c:pt>
              </c:strCache>
            </c:strRef>
          </c:cat>
          <c:val>
            <c:numRef>
              <c:f>'3.Sit.Rezultatului Global'!$C$4:$G$4</c:f>
              <c:numCache>
                <c:formatCode>_(* #,##0_);_(* \(#,##0\);_(* "-"_);_(@_)</c:formatCode>
                <c:ptCount val="5"/>
                <c:pt idx="0">
                  <c:v>124258442</c:v>
                </c:pt>
                <c:pt idx="1">
                  <c:v>128475060</c:v>
                </c:pt>
                <c:pt idx="2">
                  <c:v>121793575</c:v>
                </c:pt>
                <c:pt idx="3">
                  <c:v>126910420.85327999</c:v>
                </c:pt>
                <c:pt idx="4">
                  <c:v>154935051.10545346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39-40A4-842A-F57B55C62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438480"/>
        <c:axId val="659435200"/>
      </c:lineChart>
      <c:catAx>
        <c:axId val="65943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59435200"/>
        <c:crosses val="autoZero"/>
        <c:auto val="1"/>
        <c:lblAlgn val="ctr"/>
        <c:lblOffset val="100"/>
        <c:noMultiLvlLbl val="0"/>
      </c:catAx>
      <c:valAx>
        <c:axId val="659435200"/>
        <c:scaling>
          <c:orientation val="minMax"/>
          <c:min val="35000000"/>
        </c:scaling>
        <c:delete val="1"/>
        <c:axPos val="l"/>
        <c:numFmt formatCode="_(* #,##0_);_(* \(#,##0\);_(* &quot;-&quot;_);_(@_)" sourceLinked="1"/>
        <c:majorTickMark val="out"/>
        <c:minorTickMark val="none"/>
        <c:tickLblPos val="nextTo"/>
        <c:crossAx val="65943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2">
                    <a:lumMod val="75000"/>
                  </a:schemeClr>
                </a:solidFill>
                <a:latin typeface="Candara" panose="020E0502030303020204" pitchFamily="34" charset="0"/>
              </a:rPr>
              <a:t>Evolutia indicatorului Vanzari nete</a:t>
            </a:r>
            <a:endParaRPr lang="ro-RO" sz="1200">
              <a:solidFill>
                <a:schemeClr val="tx2">
                  <a:lumMod val="75000"/>
                </a:schemeClr>
              </a:solidFill>
              <a:latin typeface="Candara" panose="020E0502030303020204" pitchFamily="34" charset="0"/>
            </a:endParaRPr>
          </a:p>
        </c:rich>
      </c:tx>
      <c:layout>
        <c:manualLayout>
          <c:xMode val="edge"/>
          <c:yMode val="edge"/>
          <c:x val="0.29054614111197696"/>
          <c:y val="0"/>
        </c:manualLayout>
      </c:layout>
      <c:overlay val="0"/>
      <c:spPr>
        <a:solidFill>
          <a:schemeClr val="accent4">
            <a:lumMod val="20000"/>
            <a:lumOff val="80000"/>
          </a:schemeClr>
        </a:solidFill>
        <a:ln>
          <a:solidFill>
            <a:schemeClr val="tx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2">
                  <a:lumMod val="7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7080256031511572E-2"/>
          <c:y val="0.27142420541182366"/>
          <c:w val="0.94583948793697681"/>
          <c:h val="0.62301717963609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Snapshots!$C$4:$G$4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Snapshots!$C$5:$G$5</c:f>
              <c:numCache>
                <c:formatCode>_(* #,##0_);_(* \(#,##0\);_(* "-"_);_(@_)</c:formatCode>
                <c:ptCount val="5"/>
                <c:pt idx="0">
                  <c:v>124258442</c:v>
                </c:pt>
                <c:pt idx="1">
                  <c:v>128475060</c:v>
                </c:pt>
                <c:pt idx="2">
                  <c:v>121793575</c:v>
                </c:pt>
                <c:pt idx="3">
                  <c:v>126910420.85327999</c:v>
                </c:pt>
                <c:pt idx="4">
                  <c:v>154935051.10545346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4-4945-9B64-8F9084CC4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27"/>
        <c:axId val="60763824"/>
        <c:axId val="59902576"/>
      </c:barChart>
      <c:catAx>
        <c:axId val="6076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9902576"/>
        <c:crosses val="autoZero"/>
        <c:auto val="1"/>
        <c:lblAlgn val="ctr"/>
        <c:lblOffset val="100"/>
        <c:noMultiLvlLbl val="0"/>
      </c:catAx>
      <c:valAx>
        <c:axId val="59902576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60763824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1610869214704E-2"/>
          <c:y val="2.5428331875182269E-2"/>
          <c:w val="0.91308389130785295"/>
          <c:h val="0.8595820433950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Snapshots!$B$9</c:f>
              <c:strCache>
                <c:ptCount val="1"/>
                <c:pt idx="0">
                  <c:v>EBITDA Operational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Snapshots!$C$4:$G$4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Snapshots!$C$9:$G$9</c:f>
              <c:numCache>
                <c:formatCode>_(* #,##0_);_(* \(#,##0\);_(* "-"_);_(@_)</c:formatCode>
                <c:ptCount val="5"/>
                <c:pt idx="0">
                  <c:v>5809517</c:v>
                </c:pt>
                <c:pt idx="1">
                  <c:v>5208031</c:v>
                </c:pt>
                <c:pt idx="2">
                  <c:v>4326139</c:v>
                </c:pt>
                <c:pt idx="3">
                  <c:v>8366530.4845624231</c:v>
                </c:pt>
                <c:pt idx="4">
                  <c:v>9825993.5648985021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B-439C-8C96-F8977C33D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44"/>
        <c:axId val="1053619087"/>
        <c:axId val="1180443935"/>
      </c:barChart>
      <c:barChart>
        <c:barDir val="col"/>
        <c:grouping val="clustered"/>
        <c:varyColors val="0"/>
        <c:ser>
          <c:idx val="1"/>
          <c:order val="1"/>
          <c:tx>
            <c:strRef>
              <c:f>Snapshots!$B$10</c:f>
              <c:strCache>
                <c:ptCount val="1"/>
                <c:pt idx="0">
                  <c:v>Profit net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Snapshots!$C$10:$G$10</c:f>
              <c:numCache>
                <c:formatCode>_(* #,##0_);_(* \(#,##0\);_(* "-"_);_(@_)</c:formatCode>
                <c:ptCount val="5"/>
                <c:pt idx="0">
                  <c:v>-2435201</c:v>
                </c:pt>
                <c:pt idx="1">
                  <c:v>1206757</c:v>
                </c:pt>
                <c:pt idx="2">
                  <c:v>-1164014</c:v>
                </c:pt>
                <c:pt idx="3">
                  <c:v>-1641835.7529566623</c:v>
                </c:pt>
                <c:pt idx="4">
                  <c:v>4503356.1708649881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6B-439C-8C96-F8977C33D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44"/>
        <c:axId val="1164413903"/>
        <c:axId val="1052069935"/>
      </c:barChart>
      <c:catAx>
        <c:axId val="105361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180443935"/>
        <c:crosses val="autoZero"/>
        <c:auto val="1"/>
        <c:lblAlgn val="ctr"/>
        <c:lblOffset val="100"/>
        <c:noMultiLvlLbl val="0"/>
      </c:catAx>
      <c:valAx>
        <c:axId val="118044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053619087"/>
        <c:crosses val="autoZero"/>
        <c:crossBetween val="between"/>
      </c:valAx>
      <c:valAx>
        <c:axId val="1052069935"/>
        <c:scaling>
          <c:orientation val="minMax"/>
        </c:scaling>
        <c:delete val="1"/>
        <c:axPos val="r"/>
        <c:numFmt formatCode="_(* #,##0_);_(* \(#,##0\);_(* &quot;-&quot;_);_(@_)" sourceLinked="1"/>
        <c:majorTickMark val="out"/>
        <c:minorTickMark val="none"/>
        <c:tickLblPos val="nextTo"/>
        <c:crossAx val="1164413903"/>
        <c:crosses val="max"/>
        <c:crossBetween val="between"/>
      </c:valAx>
      <c:catAx>
        <c:axId val="11644139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20699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655975327374997"/>
          <c:y val="3.1265867184154229E-2"/>
          <c:w val="0.41506896752444017"/>
          <c:h val="6.689877415512907E-2"/>
        </c:manualLayout>
      </c:layout>
      <c:overlay val="0"/>
      <c:spPr>
        <a:noFill/>
        <a:ln>
          <a:solidFill>
            <a:schemeClr val="tx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055555555555555E-2"/>
          <c:y val="6.7129629629629636E-2"/>
          <c:w val="0.51944444444444449"/>
          <c:h val="0.865740740740740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332-484F-B819-06A0A27C5A83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bg1">
                    <a:lumMod val="6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332-484F-B819-06A0A27C5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hiddenPage!$B$51:$B$52</c:f>
              <c:strCache>
                <c:ptCount val="2"/>
                <c:pt idx="0">
                  <c:v> Active pe termen lung </c:v>
                </c:pt>
                <c:pt idx="1">
                  <c:v> Active curente </c:v>
                </c:pt>
              </c:strCache>
            </c:strRef>
          </c:cat>
          <c:val>
            <c:numRef>
              <c:f>hiddenPage!$I$51:$I$52</c:f>
              <c:numCache>
                <c:formatCode>_-* #,##0_-;\-* #,##0_-;_-* "-"??_-;_-@_-</c:formatCode>
                <c:ptCount val="2"/>
                <c:pt idx="0">
                  <c:v>178046798.22238484</c:v>
                </c:pt>
                <c:pt idx="1">
                  <c:v>108380938.08471972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2-484F-B819-06A0A27C5A8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32-484F-B819-06A0A27C5A83}"/>
              </c:ext>
            </c:extLst>
          </c:dPt>
          <c:dPt>
            <c:idx val="1"/>
            <c:bubble3D val="0"/>
            <c:spPr>
              <a:solidFill>
                <a:srgbClr val="EF6663"/>
              </a:solidFill>
              <a:ln w="19050">
                <a:solidFill>
                  <a:srgbClr val="EF666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332-484F-B819-06A0A27C5A83}"/>
              </c:ext>
            </c:extLst>
          </c:dPt>
          <c:dPt>
            <c:idx val="2"/>
            <c:bubble3D val="0"/>
            <c:spPr>
              <a:solidFill>
                <a:srgbClr val="E92823"/>
              </a:solidFill>
              <a:ln w="19050">
                <a:solidFill>
                  <a:srgbClr val="E9282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32-484F-B819-06A0A27C5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(hiddenPage!$I$55,hiddenPage!$I$53,hiddenPage!$I$54)</c:f>
              <c:numCache>
                <c:formatCode>_-* #,##0_-;\-* #,##0_-;_-* "-"??_-;_-@_-</c:formatCode>
                <c:ptCount val="3"/>
                <c:pt idx="0">
                  <c:v>141611863.56372088</c:v>
                </c:pt>
                <c:pt idx="1">
                  <c:v>38865669.950000003</c:v>
                </c:pt>
                <c:pt idx="2">
                  <c:v>105950202.95184986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32-484F-B819-06A0A27C5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6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</c:f>
          <c:strCache>
            <c:ptCount val="1"/>
            <c:pt idx="0">
              <c:v>Total active pe termen lung vs. Total active curente</c:v>
            </c:pt>
          </c:strCache>
        </c:strRef>
      </c:tx>
      <c:layout>
        <c:manualLayout>
          <c:xMode val="edge"/>
          <c:yMode val="edge"/>
          <c:x val="0.23420952828394159"/>
          <c:y val="1.9510827902079829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20529442262130038"/>
          <c:y val="0.15841660020270679"/>
          <c:w val="0.76415007784752487"/>
          <c:h val="0.62308324754883948"/>
        </c:manualLayout>
      </c:layout>
      <c:lineChart>
        <c:grouping val="standard"/>
        <c:varyColors val="0"/>
        <c:ser>
          <c:idx val="0"/>
          <c:order val="0"/>
          <c:tx>
            <c:strRef>
              <c:f>hiddenPage!$A$4</c:f>
              <c:strCache>
                <c:ptCount val="1"/>
                <c:pt idx="0">
                  <c:v>Total active pe termen lung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hiddenPage!$D$3:$H$3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hiddenPage!$D$4:$H$4</c:f>
              <c:numCache>
                <c:formatCode>_-* #,##0_-;\-* #,##0_-;_-* "-"??_-;_-@_-</c:formatCode>
                <c:ptCount val="5"/>
                <c:pt idx="0">
                  <c:v>268107761</c:v>
                </c:pt>
                <c:pt idx="1">
                  <c:v>253211808</c:v>
                </c:pt>
                <c:pt idx="2">
                  <c:v>211038260</c:v>
                </c:pt>
                <c:pt idx="3">
                  <c:v>189352813.5136849</c:v>
                </c:pt>
                <c:pt idx="4">
                  <c:v>178046798.22238484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7-467F-956A-DCFBF8E00C71}"/>
            </c:ext>
          </c:extLst>
        </c:ser>
        <c:ser>
          <c:idx val="1"/>
          <c:order val="1"/>
          <c:tx>
            <c:strRef>
              <c:f>hiddenPage!$A$5</c:f>
              <c:strCache>
                <c:ptCount val="1"/>
                <c:pt idx="0">
                  <c:v>Total active curente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hiddenPage!$D$3:$H$3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hiddenPage!$D$5:$H$5</c:f>
              <c:numCache>
                <c:formatCode>_-* #,##0_-;\-* #,##0_-;_-* "-"??_-;_-@_-</c:formatCode>
                <c:ptCount val="5"/>
                <c:pt idx="0">
                  <c:v>81105480</c:v>
                </c:pt>
                <c:pt idx="1">
                  <c:v>89830101</c:v>
                </c:pt>
                <c:pt idx="2">
                  <c:v>100208296</c:v>
                </c:pt>
                <c:pt idx="3">
                  <c:v>96764098.03478308</c:v>
                </c:pt>
                <c:pt idx="4">
                  <c:v>108380938.08471972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B7-467F-956A-DCFBF8E00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972048"/>
        <c:axId val="608969424"/>
      </c:lineChart>
      <c:catAx>
        <c:axId val="60897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>
                    <a:lumMod val="50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08969424"/>
        <c:crosses val="autoZero"/>
        <c:auto val="1"/>
        <c:lblAlgn val="ctr"/>
        <c:lblOffset val="100"/>
        <c:noMultiLvlLbl val="0"/>
      </c:catAx>
      <c:valAx>
        <c:axId val="60896942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0897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2908412792383006E-2"/>
          <c:y val="0.88172387767934923"/>
          <c:w val="0.93396287600433592"/>
          <c:h val="9.2544963169026079E-2"/>
        </c:manualLayout>
      </c:layout>
      <c:overlay val="0"/>
      <c:spPr>
        <a:solidFill>
          <a:schemeClr val="bg2">
            <a:lumMod val="90000"/>
          </a:schemeClr>
        </a:solidFill>
        <a:ln>
          <a:solidFill>
            <a:schemeClr val="bg2">
              <a:lumMod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hiddenPage!$A$13</c:f>
          <c:strCache>
            <c:ptCount val="1"/>
            <c:pt idx="0">
              <c:v>Structura indicatorului Capitaluri la  30 iunie 2021</c:v>
            </c:pt>
          </c:strCache>
        </c:strRef>
      </c:tx>
      <c:layout>
        <c:manualLayout>
          <c:xMode val="edge"/>
          <c:yMode val="edge"/>
          <c:x val="0.33794243822970405"/>
          <c:y val="2.8933086731294019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34406896551724137"/>
          <c:y val="0.23767695411295978"/>
          <c:w val="0.61276441306905594"/>
          <c:h val="0.583902344377393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hiddenPage!$R$16</c:f>
                  <c:strCache>
                    <c:ptCount val="1"/>
                    <c:pt idx="0">
                      <c:v> 60,919,830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{A1109FA6-98DA-4A80-9729-1E8385167614}</c15:txfldGUID>
                      <c15:f>hiddenPage!$R$16</c15:f>
                      <c15:dlblFieldTableCache>
                        <c:ptCount val="1"/>
                        <c:pt idx="0">
                          <c:v> 60,919,830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5C2-462E-9865-AECEF9265BA7}"/>
                </c:ext>
              </c:extLst>
            </c:dLbl>
            <c:dLbl>
              <c:idx val="1"/>
              <c:tx>
                <c:strRef>
                  <c:f>hiddenPage!$R$17</c:f>
                  <c:strCache>
                    <c:ptCount val="1"/>
                    <c:pt idx="0">
                      <c:v> 51,180,503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{77D58648-B9C2-440C-81F9-046BE9246D94}</c15:txfldGUID>
                      <c15:f>hiddenPage!$R$17</c15:f>
                      <c15:dlblFieldTableCache>
                        <c:ptCount val="1"/>
                        <c:pt idx="0">
                          <c:v> 51,180,503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5C2-462E-9865-AECEF9265BA7}"/>
                </c:ext>
              </c:extLst>
            </c:dLbl>
            <c:dLbl>
              <c:idx val="2"/>
              <c:tx>
                <c:strRef>
                  <c:f>hiddenPage!$R$18</c:f>
                  <c:strCache>
                    <c:ptCount val="1"/>
                    <c:pt idx="0">
                      <c:v> 26,412,210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{DE46AE71-F983-4274-A45E-36FBF7BC3F06}</c15:txfldGUID>
                      <c15:f>hiddenPage!$R$18</c15:f>
                      <c15:dlblFieldTableCache>
                        <c:ptCount val="1"/>
                        <c:pt idx="0">
                          <c:v> 26,412,210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5C2-462E-9865-AECEF9265BA7}"/>
                </c:ext>
              </c:extLst>
            </c:dLbl>
            <c:dLbl>
              <c:idx val="3"/>
              <c:tx>
                <c:strRef>
                  <c:f>hiddenPage!$R$19</c:f>
                  <c:strCache>
                    <c:ptCount val="1"/>
                    <c:pt idx="0">
                      <c:v> 2,182,283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{B182BB5D-9830-495A-B895-D92E9CD4C745}</c15:txfldGUID>
                      <c15:f>hiddenPage!$R$19</c15:f>
                      <c15:dlblFieldTableCache>
                        <c:ptCount val="1"/>
                        <c:pt idx="0">
                          <c:v> 2,182,283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5C2-462E-9865-AECEF9265BA7}"/>
                </c:ext>
              </c:extLst>
            </c:dLbl>
            <c:dLbl>
              <c:idx val="4"/>
              <c:tx>
                <c:strRef>
                  <c:f>hiddenPage!$R$20</c:f>
                  <c:strCache>
                    <c:ptCount val="1"/>
                    <c:pt idx="0">
                      <c:v> 917,038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{E1DF6B2D-208B-4F74-B56E-F4F30BE29584}</c15:txfldGUID>
                      <c15:f>hiddenPage!$R$20</c15:f>
                      <c15:dlblFieldTableCache>
                        <c:ptCount val="1"/>
                        <c:pt idx="0">
                          <c:v> 917,038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5C2-462E-9865-AECEF9265BA7}"/>
                </c:ext>
              </c:extLst>
            </c:dLbl>
            <c:dLbl>
              <c:idx val="5"/>
              <c:tx>
                <c:strRef>
                  <c:f>hiddenPage!$R$21</c:f>
                  <c:strCache>
                    <c:ptCount val="1"/>
                    <c:pt idx="0">
                      <c:v> -  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{14259D98-83B9-46D5-BFCD-68E505D85916}</c15:txfldGUID>
                      <c15:f>hiddenPage!$R$21</c15:f>
                      <c15:dlblFieldTableCache>
                        <c:ptCount val="1"/>
                        <c:pt idx="0">
                          <c:v> -  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5C2-462E-9865-AECEF9265B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hiddenPage!$O$16:$O$21</c:f>
              <c:strCache>
                <c:ptCount val="5"/>
                <c:pt idx="0">
                  <c:v>Rezerve</c:v>
                </c:pt>
                <c:pt idx="1">
                  <c:v>Rezultat reportat</c:v>
                </c:pt>
                <c:pt idx="2">
                  <c:v>Capital social</c:v>
                </c:pt>
                <c:pt idx="3">
                  <c:v>Prime de emisiune</c:v>
                </c:pt>
                <c:pt idx="4">
                  <c:v>Interese minoritare</c:v>
                </c:pt>
              </c:strCache>
            </c:strRef>
          </c:cat>
          <c:val>
            <c:numRef>
              <c:f>hiddenPage!$S$16:$S$21</c:f>
              <c:numCache>
                <c:formatCode>0%</c:formatCode>
                <c:ptCount val="6"/>
                <c:pt idx="0">
                  <c:v>0.43018874461567547</c:v>
                </c:pt>
                <c:pt idx="1">
                  <c:v>0.36141394805181759</c:v>
                </c:pt>
                <c:pt idx="2">
                  <c:v>0.1865112828739475</c:v>
                </c:pt>
                <c:pt idx="3">
                  <c:v>1.5410311997045652E-2</c:v>
                </c:pt>
                <c:pt idx="4">
                  <c:v>6.4757124615137159E-3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C2-462E-9865-AECEF9265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506901752"/>
        <c:axId val="506893224"/>
      </c:barChart>
      <c:catAx>
        <c:axId val="506901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893224"/>
        <c:crosses val="autoZero"/>
        <c:auto val="1"/>
        <c:lblAlgn val="ctr"/>
        <c:lblOffset val="100"/>
        <c:noMultiLvlLbl val="0"/>
      </c:catAx>
      <c:valAx>
        <c:axId val="506893224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901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hiddenPage!$D$24</c:f>
          <c:strCache>
            <c:ptCount val="1"/>
            <c:pt idx="0">
              <c:v>Evolutia indicatorului Total capitaluri in perioada 2017 - 2021</c:v>
            </c:pt>
          </c:strCache>
        </c:strRef>
      </c:tx>
      <c:layout>
        <c:manualLayout>
          <c:xMode val="edge"/>
          <c:yMode val="edge"/>
          <c:x val="0.25387662608805855"/>
          <c:y val="1.3414858538205008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7.6196452607139725E-2"/>
          <c:y val="9.1945114303733588E-2"/>
          <c:w val="0.9238035473928603"/>
          <c:h val="0.79699198518648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hiddenPage!$B$31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hiddenPage!$A$32:$A$37</c:f>
              <c:strCache>
                <c:ptCount val="5"/>
                <c:pt idx="1">
                  <c:v>Iun.2018</c:v>
                </c:pt>
                <c:pt idx="2">
                  <c:v>Iun.2019</c:v>
                </c:pt>
                <c:pt idx="3">
                  <c:v>Iun.2020</c:v>
                </c:pt>
                <c:pt idx="4">
                  <c:v>Iun.2021</c:v>
                </c:pt>
              </c:strCache>
            </c:strRef>
          </c:cat>
          <c:val>
            <c:numRef>
              <c:f>hiddenPage!$B$32:$B$37</c:f>
              <c:numCache>
                <c:formatCode>_-* #,##0\ _l_e_i_-;\-* #,##0\ _l_e_i_-;_-* "-"??\ _l_e_i_-;_-@_-</c:formatCode>
                <c:ptCount val="6"/>
                <c:pt idx="1">
                  <c:v>148590220</c:v>
                </c:pt>
                <c:pt idx="2">
                  <c:v>140810799</c:v>
                </c:pt>
                <c:pt idx="3">
                  <c:v>137581391.84156576</c:v>
                </c:pt>
                <c:pt idx="4">
                  <c:v>137581391.84156576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A-4267-ADC1-CDBB0FEC14C9}"/>
            </c:ext>
          </c:extLst>
        </c:ser>
        <c:ser>
          <c:idx val="1"/>
          <c:order val="1"/>
          <c:tx>
            <c:strRef>
              <c:f>hiddenPage!$C$31</c:f>
              <c:strCache>
                <c:ptCount val="1"/>
                <c:pt idx="0">
                  <c:v>End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hiddenPage!$A$32:$A$37</c:f>
              <c:strCache>
                <c:ptCount val="5"/>
                <c:pt idx="1">
                  <c:v>Iun.2018</c:v>
                </c:pt>
                <c:pt idx="2">
                  <c:v>Iun.2019</c:v>
                </c:pt>
                <c:pt idx="3">
                  <c:v>Iun.2020</c:v>
                </c:pt>
                <c:pt idx="4">
                  <c:v>Iun.2021</c:v>
                </c:pt>
              </c:strCache>
            </c:strRef>
          </c:cat>
          <c:val>
            <c:numRef>
              <c:f>hiddenPage!$C$32:$C$37</c:f>
              <c:numCache>
                <c:formatCode>_-* #,##0\ _l_e_i_-;\-* #,##0\ _l_e_i_-;_-* "-"??\ _l_e_i_-;_-@_-</c:formatCode>
                <c:ptCount val="6"/>
                <c:pt idx="5">
                  <c:v>141611863.56372088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8A-4267-ADC1-CDBB0FEC14C9}"/>
            </c:ext>
          </c:extLst>
        </c:ser>
        <c:ser>
          <c:idx val="2"/>
          <c:order val="2"/>
          <c:tx>
            <c:strRef>
              <c:f>hiddenPage!$D$31</c:f>
              <c:strCache>
                <c:ptCount val="1"/>
                <c:pt idx="0">
                  <c:v>Down</c:v>
                </c:pt>
              </c:strCache>
            </c:strRef>
          </c:tx>
          <c:spPr>
            <a:solidFill>
              <a:srgbClr val="EF666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8.3333333333333332E-3"/>
                  <c:y val="-1.38888888888888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8A-4267-ADC1-CDBB0FEC14C9}"/>
                </c:ext>
              </c:extLst>
            </c:dLbl>
            <c:dLbl>
              <c:idx val="4"/>
              <c:layout>
                <c:manualLayout>
                  <c:x val="-7.0852643662024309E-17"/>
                  <c:y val="-2.3937757307330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68A-4267-ADC1-CDBB0FEC14C9}"/>
                </c:ext>
              </c:extLst>
            </c:dLbl>
            <c:dLbl>
              <c:idx val="5"/>
              <c:layout>
                <c:manualLayout>
                  <c:x val="-3.8647342995169081E-3"/>
                  <c:y val="-2.87253087687963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8A-4267-ADC1-CDBB0FEC14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hiddenPage!$A$32:$A$37</c:f>
              <c:strCache>
                <c:ptCount val="5"/>
                <c:pt idx="1">
                  <c:v>Iun.2018</c:v>
                </c:pt>
                <c:pt idx="2">
                  <c:v>Iun.2019</c:v>
                </c:pt>
                <c:pt idx="3">
                  <c:v>Iun.2020</c:v>
                </c:pt>
                <c:pt idx="4">
                  <c:v>Iun.2021</c:v>
                </c:pt>
              </c:strCache>
            </c:strRef>
          </c:cat>
          <c:val>
            <c:numRef>
              <c:f>hiddenPage!$D$32:$D$37</c:f>
              <c:numCache>
                <c:formatCode>_-* #,##0\ _l_e_i_-;\-* #,##0\ _l_e_i_-;_-* "-"??\ _l_e_i_-;_-@_-</c:formatCode>
                <c:ptCount val="6"/>
                <c:pt idx="1">
                  <c:v>0</c:v>
                </c:pt>
                <c:pt idx="2">
                  <c:v>7872853</c:v>
                </c:pt>
                <c:pt idx="3">
                  <c:v>3229407.158434242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8A-4267-ADC1-CDBB0FEC14C9}"/>
            </c:ext>
          </c:extLst>
        </c:ser>
        <c:ser>
          <c:idx val="3"/>
          <c:order val="3"/>
          <c:tx>
            <c:strRef>
              <c:f>hiddenPage!$E$31</c:f>
              <c:strCache>
                <c:ptCount val="1"/>
                <c:pt idx="0">
                  <c:v>Up</c:v>
                </c:pt>
              </c:strCache>
            </c:strRef>
          </c:tx>
          <c:spPr>
            <a:solidFill>
              <a:srgbClr val="8BC167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1219040955771699E-3"/>
                  <c:y val="2.842750044953977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8A-4267-ADC1-CDBB0FEC14C9}"/>
                </c:ext>
              </c:extLst>
            </c:dLbl>
            <c:dLbl>
              <c:idx val="5"/>
              <c:layout>
                <c:manualLayout>
                  <c:x val="2.7778203188538737E-3"/>
                  <c:y val="-4.58225220745704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8A-4267-ADC1-CDBB0FEC14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hiddenPage!$A$32:$A$37</c:f>
              <c:strCache>
                <c:ptCount val="5"/>
                <c:pt idx="1">
                  <c:v>Iun.2018</c:v>
                </c:pt>
                <c:pt idx="2">
                  <c:v>Iun.2019</c:v>
                </c:pt>
                <c:pt idx="3">
                  <c:v>Iun.2020</c:v>
                </c:pt>
                <c:pt idx="4">
                  <c:v>Iun.2021</c:v>
                </c:pt>
              </c:strCache>
            </c:strRef>
          </c:cat>
          <c:val>
            <c:numRef>
              <c:f>hiddenPage!$E$32:$E$37</c:f>
              <c:numCache>
                <c:formatCode>_-* #,##0\ _l_e_i_-;\-* #,##0\ _l_e_i_-;_-* "-"??\ _l_e_i_-;_-@_-</c:formatCode>
                <c:ptCount val="6"/>
                <c:pt idx="1">
                  <c:v>93432</c:v>
                </c:pt>
                <c:pt idx="2">
                  <c:v>0</c:v>
                </c:pt>
                <c:pt idx="3">
                  <c:v>0</c:v>
                </c:pt>
                <c:pt idx="4">
                  <c:v>4030471.7221551239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8A-4267-ADC1-CDBB0FEC14C9}"/>
            </c:ext>
          </c:extLst>
        </c:ser>
        <c:ser>
          <c:idx val="4"/>
          <c:order val="4"/>
          <c:tx>
            <c:strRef>
              <c:f>hiddenPage!$F$31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68A-4267-ADC1-CDBB0FEC14C9}"/>
              </c:ext>
            </c:extLst>
          </c:dPt>
          <c:dLbls>
            <c:dLbl>
              <c:idx val="0"/>
              <c:layout>
                <c:manualLayout>
                  <c:x val="-2.7777777777777779E-3"/>
                  <c:y val="-7.4074074074074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8A-4267-ADC1-CDBB0FEC14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hiddenPage!$A$32:$A$37</c:f>
              <c:strCache>
                <c:ptCount val="5"/>
                <c:pt idx="1">
                  <c:v>Iun.2018</c:v>
                </c:pt>
                <c:pt idx="2">
                  <c:v>Iun.2019</c:v>
                </c:pt>
                <c:pt idx="3">
                  <c:v>Iun.2020</c:v>
                </c:pt>
                <c:pt idx="4">
                  <c:v>Iun.2021</c:v>
                </c:pt>
              </c:strCache>
            </c:strRef>
          </c:cat>
          <c:val>
            <c:numRef>
              <c:f>hiddenPage!$F$32:$F$37</c:f>
              <c:numCache>
                <c:formatCode>General</c:formatCode>
                <c:ptCount val="6"/>
                <c:pt idx="0" formatCode="_-* #,##0_-;\-* #,##0_-;_-* &quot;-&quot;??_-;_-@_-">
                  <c:v>148590220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8A-4267-ADC1-CDBB0FEC14C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573463936"/>
        <c:axId val="573462624"/>
      </c:barChart>
      <c:catAx>
        <c:axId val="5734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73462624"/>
        <c:crosses val="autoZero"/>
        <c:auto val="1"/>
        <c:lblAlgn val="ctr"/>
        <c:lblOffset val="100"/>
        <c:noMultiLvlLbl val="0"/>
      </c:catAx>
      <c:valAx>
        <c:axId val="5734626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73463936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2">
        <a:lumMod val="90000"/>
      </a:schemeClr>
    </a:solidFill>
    <a:ln w="0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69231592294646"/>
          <c:y val="7.7336560323994566E-2"/>
          <c:w val="0.52524016199789203"/>
          <c:h val="0.785092566651886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E4-492C-AE55-B7CC0929C209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E4-492C-AE55-B7CC0929C209}"/>
              </c:ext>
            </c:extLst>
          </c:dPt>
          <c:dLbls>
            <c:dLbl>
              <c:idx val="0"/>
              <c:layout>
                <c:manualLayout>
                  <c:x val="-6.8724887682527422E-2"/>
                  <c:y val="6.070125204145186E-2"/>
                </c:manualLayout>
              </c:layout>
              <c:spPr>
                <a:solidFill>
                  <a:schemeClr val="bg2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1DE4-492C-AE55-B7CC0929C209}"/>
                </c:ext>
              </c:extLst>
            </c:dLbl>
            <c:dLbl>
              <c:idx val="1"/>
              <c:spPr>
                <a:solidFill>
                  <a:schemeClr val="accent4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chemeClr val="tx2">
                          <a:lumMod val="75000"/>
                        </a:schemeClr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E4-492C-AE55-B7CC0929C209}"/>
                </c:ext>
              </c:extLst>
            </c:dLbl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spc="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hiddenPage!$A$10:$A$11</c:f>
              <c:strCache>
                <c:ptCount val="2"/>
                <c:pt idx="0">
                  <c:v>Total active pe termen lung</c:v>
                </c:pt>
                <c:pt idx="1">
                  <c:v>Total active curente</c:v>
                </c:pt>
              </c:strCache>
            </c:strRef>
          </c:cat>
          <c:val>
            <c:numRef>
              <c:f>hiddenPage!$I$10:$I$11</c:f>
              <c:numCache>
                <c:formatCode>#,##0\ [$lei-418];\-#,##0\ [$lei-418]</c:formatCode>
                <c:ptCount val="2"/>
                <c:pt idx="0">
                  <c:v>178046798.22238484</c:v>
                </c:pt>
                <c:pt idx="1">
                  <c:v>108380938.08471972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E4-492C-AE55-B7CC0929C20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hiddenPage!$A$7</c:f>
          <c:strCache>
            <c:ptCount val="1"/>
            <c:pt idx="0">
              <c:v>Total active pe termen lung vs. Total active curente</c:v>
            </c:pt>
          </c:strCache>
        </c:strRef>
      </c:tx>
      <c:layout>
        <c:manualLayout>
          <c:xMode val="edge"/>
          <c:yMode val="edge"/>
          <c:x val="0.24629272969763213"/>
          <c:y val="8.9814853528231899E-3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10659130900820153"/>
          <c:y val="0.15712743896531589"/>
          <c:w val="0.89340869099179854"/>
          <c:h val="0.65774434159340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hiddenPage!$A$10</c:f>
              <c:strCache>
                <c:ptCount val="1"/>
                <c:pt idx="0">
                  <c:v>Total active pe termen lung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hiddenPage!$D$44</c:f>
                  <c:strCache>
                    <c:ptCount val="1"/>
                    <c:pt idx="0">
                      <c:v>77%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{3C6EBE22-A2AF-4D7C-A766-F5FB22328062}</c15:txfldGUID>
                      <c15:f>hiddenPage!$D$44</c15:f>
                      <c15:dlblFieldTableCache>
                        <c:ptCount val="1"/>
                        <c:pt idx="0">
                          <c:v>77%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8EA9-4013-BEE6-C06A69FD95A5}"/>
                </c:ext>
              </c:extLst>
            </c:dLbl>
            <c:dLbl>
              <c:idx val="1"/>
              <c:tx>
                <c:strRef>
                  <c:f>hiddenPage!$E$44</c:f>
                  <c:strCache>
                    <c:ptCount val="1"/>
                    <c:pt idx="0">
                      <c:v>74%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{7383B7A4-5A4D-4393-B765-7811165A11DE}</c15:txfldGUID>
                      <c15:f>hiddenPage!$E$44</c15:f>
                      <c15:dlblFieldTableCache>
                        <c:ptCount val="1"/>
                        <c:pt idx="0">
                          <c:v>74%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8EA9-4013-BEE6-C06A69FD95A5}"/>
                </c:ext>
              </c:extLst>
            </c:dLbl>
            <c:dLbl>
              <c:idx val="2"/>
              <c:tx>
                <c:strRef>
                  <c:f>hiddenPage!$F$44</c:f>
                  <c:strCache>
                    <c:ptCount val="1"/>
                    <c:pt idx="0">
                      <c:v>68%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{E39FD287-E3F9-42F5-A676-891F1B303FBF}</c15:txfldGUID>
                      <c15:f>hiddenPage!$F$44</c15:f>
                      <c15:dlblFieldTableCache>
                        <c:ptCount val="1"/>
                        <c:pt idx="0">
                          <c:v>68%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8EA9-4013-BEE6-C06A69FD95A5}"/>
                </c:ext>
              </c:extLst>
            </c:dLbl>
            <c:dLbl>
              <c:idx val="3"/>
              <c:tx>
                <c:strRef>
                  <c:f>hiddenPage!$G$44</c:f>
                  <c:strCache>
                    <c:ptCount val="1"/>
                    <c:pt idx="0">
                      <c:v>66%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{5852AAB3-E8FF-4A56-BAE1-2AAD702FAA87}</c15:txfldGUID>
                      <c15:f>hiddenPage!$G$44</c15:f>
                      <c15:dlblFieldTableCache>
                        <c:ptCount val="1"/>
                        <c:pt idx="0">
                          <c:v>66%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8EA9-4013-BEE6-C06A69FD95A5}"/>
                </c:ext>
              </c:extLst>
            </c:dLbl>
            <c:dLbl>
              <c:idx val="4"/>
              <c:tx>
                <c:strRef>
                  <c:f>hiddenPage!$H$44</c:f>
                  <c:strCache>
                    <c:ptCount val="1"/>
                    <c:pt idx="0">
                      <c:v>62%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{94341030-7C02-4055-87CE-6FE7EF1EEA13}</c15:txfldGUID>
                      <c15:f>hiddenPage!$H$44</c15:f>
                      <c15:dlblFieldTableCache>
                        <c:ptCount val="1"/>
                        <c:pt idx="0">
                          <c:v>62%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8EA9-4013-BEE6-C06A69FD95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hiddenPage!$D$9:$H$9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hiddenPage!$D$10:$H$10</c:f>
              <c:numCache>
                <c:formatCode>_-* #,##0_-;\-* #,##0_-;_-* "-"??_-;_-@_-</c:formatCode>
                <c:ptCount val="5"/>
                <c:pt idx="0">
                  <c:v>268107761</c:v>
                </c:pt>
                <c:pt idx="1">
                  <c:v>253211808</c:v>
                </c:pt>
                <c:pt idx="2">
                  <c:v>211038260</c:v>
                </c:pt>
                <c:pt idx="3">
                  <c:v>189352813.5136849</c:v>
                </c:pt>
                <c:pt idx="4">
                  <c:v>178046798.22238484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4-4242-B919-D95F59CFEF20}"/>
            </c:ext>
          </c:extLst>
        </c:ser>
        <c:ser>
          <c:idx val="1"/>
          <c:order val="1"/>
          <c:tx>
            <c:strRef>
              <c:f>hiddenPage!$A$11</c:f>
              <c:strCache>
                <c:ptCount val="1"/>
                <c:pt idx="0">
                  <c:v>Total active curente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hiddenPage!$D$45</c:f>
                  <c:strCache>
                    <c:ptCount val="1"/>
                    <c:pt idx="0">
                      <c:v>23%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{5819C88F-9444-4FC4-8570-EF84CDE5A1EB}</c15:txfldGUID>
                      <c15:f>hiddenPage!$D$45</c15:f>
                      <c15:dlblFieldTableCache>
                        <c:ptCount val="1"/>
                        <c:pt idx="0">
                          <c:v>23%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8EA9-4013-BEE6-C06A69FD95A5}"/>
                </c:ext>
              </c:extLst>
            </c:dLbl>
            <c:dLbl>
              <c:idx val="1"/>
              <c:tx>
                <c:strRef>
                  <c:f>hiddenPage!$E$45</c:f>
                  <c:strCache>
                    <c:ptCount val="1"/>
                    <c:pt idx="0">
                      <c:v>26%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{ADC96110-D684-47EF-86DE-F70C3DD24EEE}</c15:txfldGUID>
                      <c15:f>hiddenPage!$E$45</c15:f>
                      <c15:dlblFieldTableCache>
                        <c:ptCount val="1"/>
                        <c:pt idx="0">
                          <c:v>26%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8EA9-4013-BEE6-C06A69FD95A5}"/>
                </c:ext>
              </c:extLst>
            </c:dLbl>
            <c:dLbl>
              <c:idx val="2"/>
              <c:layout>
                <c:manualLayout>
                  <c:x val="-1.0464279778996785E-16"/>
                  <c:y val="1.7725318279374045E-2"/>
                </c:manualLayout>
              </c:layout>
              <c:tx>
                <c:strRef>
                  <c:f>hiddenPage!$F$45</c:f>
                  <c:strCache>
                    <c:ptCount val="1"/>
                    <c:pt idx="0">
                      <c:v>32%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{074F6A0D-6689-4E78-89F9-7CC65FBC66D5}</c15:txfldGUID>
                      <c15:f>hiddenPage!$F$45</c15:f>
                      <c15:dlblFieldTableCache>
                        <c:ptCount val="1"/>
                        <c:pt idx="0">
                          <c:v>32%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8EA9-4013-BEE6-C06A69FD95A5}"/>
                </c:ext>
              </c:extLst>
            </c:dLbl>
            <c:dLbl>
              <c:idx val="3"/>
              <c:tx>
                <c:strRef>
                  <c:f>hiddenPage!$G$45</c:f>
                  <c:strCache>
                    <c:ptCount val="1"/>
                    <c:pt idx="0">
                      <c:v>34%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{8C06B571-A6EB-4AA9-AE22-8422205B54D1}</c15:txfldGUID>
                      <c15:f>hiddenPage!$G$45</c15:f>
                      <c15:dlblFieldTableCache>
                        <c:ptCount val="1"/>
                        <c:pt idx="0">
                          <c:v>34%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8EA9-4013-BEE6-C06A69FD95A5}"/>
                </c:ext>
              </c:extLst>
            </c:dLbl>
            <c:dLbl>
              <c:idx val="4"/>
              <c:tx>
                <c:strRef>
                  <c:f>hiddenPage!$H$45</c:f>
                  <c:strCache>
                    <c:ptCount val="1"/>
                    <c:pt idx="0">
                      <c:v>38%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{DDA573C9-4CA0-470E-86DC-32E3F210C1FE}</c15:txfldGUID>
                      <c15:f>hiddenPage!$H$45</c15:f>
                      <c15:dlblFieldTableCache>
                        <c:ptCount val="1"/>
                        <c:pt idx="0">
                          <c:v>38%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8EA9-4013-BEE6-C06A69FD95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hiddenPage!$D$9:$H$9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hiddenPage!$D$11:$H$11</c:f>
              <c:numCache>
                <c:formatCode>_-* #,##0_-;\-* #,##0_-;_-* "-"??_-;_-@_-</c:formatCode>
                <c:ptCount val="5"/>
                <c:pt idx="0">
                  <c:v>81105480</c:v>
                </c:pt>
                <c:pt idx="1">
                  <c:v>89830101</c:v>
                </c:pt>
                <c:pt idx="2">
                  <c:v>100208296</c:v>
                </c:pt>
                <c:pt idx="3">
                  <c:v>96764098.03478308</c:v>
                </c:pt>
                <c:pt idx="4">
                  <c:v>108380938.08471972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4-4242-B919-D95F59CFE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617263200"/>
        <c:axId val="617269760"/>
      </c:barChart>
      <c:scatterChart>
        <c:scatterStyle val="lineMarker"/>
        <c:varyColors val="0"/>
        <c:ser>
          <c:idx val="2"/>
          <c:order val="2"/>
          <c:tx>
            <c:strRef>
              <c:f>hiddenPage!$A$12</c:f>
              <c:strCache>
                <c:ptCount val="1"/>
                <c:pt idx="0">
                  <c:v>Total Activ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hiddenPage!$D$12:$H$12</c:f>
              <c:numCache>
                <c:formatCode>_-* #,##0_-;\-* #,##0_-;_-* "-"??_-;_-@_-</c:formatCode>
                <c:ptCount val="5"/>
                <c:pt idx="0">
                  <c:v>349213241</c:v>
                </c:pt>
                <c:pt idx="1">
                  <c:v>343041909</c:v>
                </c:pt>
                <c:pt idx="2">
                  <c:v>311246556</c:v>
                </c:pt>
                <c:pt idx="3">
                  <c:v>286116911.54846799</c:v>
                </c:pt>
                <c:pt idx="4">
                  <c:v>286427736.30710459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EA9-4013-BEE6-C06A69FD9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263200"/>
        <c:axId val="617269760"/>
      </c:scatterChart>
      <c:catAx>
        <c:axId val="61726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17269760"/>
        <c:crosses val="autoZero"/>
        <c:auto val="1"/>
        <c:lblAlgn val="ctr"/>
        <c:lblOffset val="100"/>
        <c:noMultiLvlLbl val="0"/>
      </c:catAx>
      <c:valAx>
        <c:axId val="617269760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61726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6063321378016377E-3"/>
          <c:y val="0.89776428988043167"/>
          <c:w val="0.98054895893698468"/>
          <c:h val="7.4779209876491531E-2"/>
        </c:manualLayout>
      </c:layout>
      <c:overlay val="0"/>
      <c:spPr>
        <a:solidFill>
          <a:schemeClr val="bg2">
            <a:lumMod val="90000"/>
          </a:schemeClr>
        </a:solidFill>
        <a:ln>
          <a:solidFill>
            <a:schemeClr val="bg2">
              <a:lumMod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sz="1000">
          <a:latin typeface="Candara" panose="020E0502030303020204" pitchFamily="34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3.Sit.Rezultatului Global'!A1"/><Relationship Id="rId7" Type="http://schemas.openxmlformats.org/officeDocument/2006/relationships/hyperlink" Target="#'2.Pozitia Financiara-Comparatii'!A1"/><Relationship Id="rId2" Type="http://schemas.openxmlformats.org/officeDocument/2006/relationships/hyperlink" Target="#'1.Pozitia Financiara'!A1"/><Relationship Id="rId1" Type="http://schemas.openxmlformats.org/officeDocument/2006/relationships/hyperlink" Target="#Snapshots!A1"/><Relationship Id="rId6" Type="http://schemas.openxmlformats.org/officeDocument/2006/relationships/hyperlink" Target="#Grafice!A1"/><Relationship Id="rId5" Type="http://schemas.openxmlformats.org/officeDocument/2006/relationships/chart" Target="../charts/chart1.xml"/><Relationship Id="rId4" Type="http://schemas.openxmlformats.org/officeDocument/2006/relationships/hyperlink" Target="#'4.Indicatori Financiari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uprins!A1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hyperlink" Target="#Cuprins!A1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338666</xdr:colOff>
      <xdr:row>0</xdr:row>
      <xdr:rowOff>123825</xdr:rowOff>
    </xdr:from>
    <xdr:to>
      <xdr:col>19</xdr:col>
      <xdr:colOff>600074</xdr:colOff>
      <xdr:row>4</xdr:row>
      <xdr:rowOff>76200</xdr:rowOff>
    </xdr:to>
    <xdr:sp macro="" textlink="">
      <xdr:nvSpPr>
        <xdr:cNvPr id="9" name="Title 1">
          <a:extLst>
            <a:ext uri="{FF2B5EF4-FFF2-40B4-BE49-F238E27FC236}">
              <a16:creationId xmlns:a16="http://schemas.microsoft.com/office/drawing/2014/main" id="{30E4A61E-EE59-45FF-BA59-CE32CE3A4C7F}"/>
            </a:ext>
          </a:extLst>
        </xdr:cNvPr>
        <xdr:cNvSpPr>
          <a:spLocks noGrp="1"/>
        </xdr:cNvSpPr>
      </xdr:nvSpPr>
      <xdr:spPr>
        <a:xfrm>
          <a:off x="3926416" y="123825"/>
          <a:ext cx="6061075" cy="714375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="horz" wrap="square" lIns="91440" tIns="45720" rIns="91440" bIns="45720" rtlCol="0" anchor="ctr">
          <a:normAutofit/>
        </a:bodyPr>
        <a:lstStyle>
          <a:lvl1pPr algn="l" defTabSz="685800" rtl="0" eaLnBrk="1" latinLnBrk="0" hangingPunct="1">
            <a:lnSpc>
              <a:spcPct val="90000"/>
            </a:lnSpc>
            <a:spcBef>
              <a:spcPct val="0"/>
            </a:spcBef>
            <a:buNone/>
            <a:defRPr sz="33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sz="2800" b="1">
              <a:ln>
                <a:solidFill>
                  <a:schemeClr val="tx2">
                    <a:lumMod val="50000"/>
                  </a:schemeClr>
                </a:solidFill>
              </a:ln>
              <a:solidFill>
                <a:schemeClr val="bg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ndara" panose="020E0502030303020204" pitchFamily="34" charset="0"/>
            </a:rPr>
            <a:t>CUPRINS</a:t>
          </a:r>
        </a:p>
      </xdr:txBody>
    </xdr:sp>
    <xdr:clientData/>
  </xdr:twoCellAnchor>
  <xdr:twoCellAnchor>
    <xdr:from>
      <xdr:col>20</xdr:col>
      <xdr:colOff>247651</xdr:colOff>
      <xdr:row>10</xdr:row>
      <xdr:rowOff>192618</xdr:rowOff>
    </xdr:from>
    <xdr:to>
      <xdr:col>23</xdr:col>
      <xdr:colOff>605367</xdr:colOff>
      <xdr:row>13</xdr:row>
      <xdr:rowOff>4235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0DAE45-A9A8-4312-ABDB-3A45DB62C517}"/>
            </a:ext>
          </a:extLst>
        </xdr:cNvPr>
        <xdr:cNvSpPr/>
      </xdr:nvSpPr>
      <xdr:spPr>
        <a:xfrm>
          <a:off x="9527118" y="2029885"/>
          <a:ext cx="2059516" cy="49741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INDICATORI CHEIE</a:t>
          </a:r>
        </a:p>
      </xdr:txBody>
    </xdr:sp>
    <xdr:clientData/>
  </xdr:twoCellAnchor>
  <xdr:twoCellAnchor>
    <xdr:from>
      <xdr:col>20</xdr:col>
      <xdr:colOff>247651</xdr:colOff>
      <xdr:row>13</xdr:row>
      <xdr:rowOff>78317</xdr:rowOff>
    </xdr:from>
    <xdr:to>
      <xdr:col>23</xdr:col>
      <xdr:colOff>605668</xdr:colOff>
      <xdr:row>15</xdr:row>
      <xdr:rowOff>138234</xdr:rowOff>
    </xdr:to>
    <xdr:sp macro="" textlink="">
      <xdr:nvSpPr>
        <xdr:cNvPr id="8" name="Rectangle: Rounded Corner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F8F312-05FC-45EC-919F-81B74F0BBF5B}"/>
            </a:ext>
          </a:extLst>
        </xdr:cNvPr>
        <xdr:cNvSpPr/>
      </xdr:nvSpPr>
      <xdr:spPr>
        <a:xfrm>
          <a:off x="9527118" y="2601384"/>
          <a:ext cx="2059817" cy="48325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POZITIA FINANCIARA</a:t>
          </a:r>
        </a:p>
      </xdr:txBody>
    </xdr:sp>
    <xdr:clientData/>
  </xdr:twoCellAnchor>
  <xdr:twoCellAnchor>
    <xdr:from>
      <xdr:col>24</xdr:col>
      <xdr:colOff>73026</xdr:colOff>
      <xdr:row>10</xdr:row>
      <xdr:rowOff>164039</xdr:rowOff>
    </xdr:from>
    <xdr:to>
      <xdr:col>27</xdr:col>
      <xdr:colOff>253242</xdr:colOff>
      <xdr:row>12</xdr:row>
      <xdr:rowOff>209139</xdr:rowOff>
    </xdr:to>
    <xdr:sp macro="" textlink="">
      <xdr:nvSpPr>
        <xdr:cNvPr id="11" name="Rectangle: Rounded Corners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6C9ED3-5663-4DB8-B52A-6FC03136AB92}"/>
            </a:ext>
          </a:extLst>
        </xdr:cNvPr>
        <xdr:cNvSpPr/>
      </xdr:nvSpPr>
      <xdr:spPr>
        <a:xfrm>
          <a:off x="11680826" y="2001306"/>
          <a:ext cx="2059816" cy="5023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REZULTATUL GLOBAL</a:t>
          </a:r>
        </a:p>
      </xdr:txBody>
    </xdr:sp>
    <xdr:clientData/>
  </xdr:twoCellAnchor>
  <xdr:twoCellAnchor>
    <xdr:from>
      <xdr:col>24</xdr:col>
      <xdr:colOff>73026</xdr:colOff>
      <xdr:row>13</xdr:row>
      <xdr:rowOff>48681</xdr:rowOff>
    </xdr:from>
    <xdr:to>
      <xdr:col>27</xdr:col>
      <xdr:colOff>253242</xdr:colOff>
      <xdr:row>15</xdr:row>
      <xdr:rowOff>127648</xdr:rowOff>
    </xdr:to>
    <xdr:sp macro="" textlink="">
      <xdr:nvSpPr>
        <xdr:cNvPr id="13" name="Rectangle: Rounded Corners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BD86A7-2DB3-44FD-843E-2F3C37F5A2EE}"/>
            </a:ext>
          </a:extLst>
        </xdr:cNvPr>
        <xdr:cNvSpPr/>
      </xdr:nvSpPr>
      <xdr:spPr>
        <a:xfrm>
          <a:off x="11680826" y="2571748"/>
          <a:ext cx="2059816" cy="5023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INDICATORI FINANCIARI</a:t>
          </a:r>
        </a:p>
      </xdr:txBody>
    </xdr:sp>
    <xdr:clientData/>
  </xdr:twoCellAnchor>
  <xdr:twoCellAnchor>
    <xdr:from>
      <xdr:col>7</xdr:col>
      <xdr:colOff>10583</xdr:colOff>
      <xdr:row>10</xdr:row>
      <xdr:rowOff>0</xdr:rowOff>
    </xdr:from>
    <xdr:to>
      <xdr:col>19</xdr:col>
      <xdr:colOff>603249</xdr:colOff>
      <xdr:row>19</xdr:row>
      <xdr:rowOff>169333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B538D89-7D1F-4FC4-BC66-E2A7A244C8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73026</xdr:colOff>
      <xdr:row>16</xdr:row>
      <xdr:rowOff>44450</xdr:rowOff>
    </xdr:from>
    <xdr:to>
      <xdr:col>27</xdr:col>
      <xdr:colOff>253242</xdr:colOff>
      <xdr:row>18</xdr:row>
      <xdr:rowOff>155167</xdr:rowOff>
    </xdr:to>
    <xdr:sp macro="" textlink="">
      <xdr:nvSpPr>
        <xdr:cNvPr id="14" name="Rectangle: Rounded Corners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9237CBE-DE8F-4D0E-8544-86F0D27F8950}"/>
            </a:ext>
          </a:extLst>
        </xdr:cNvPr>
        <xdr:cNvSpPr/>
      </xdr:nvSpPr>
      <xdr:spPr>
        <a:xfrm>
          <a:off x="11680826" y="3185583"/>
          <a:ext cx="2059816" cy="500184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GRAFICE INTERACTIVE</a:t>
          </a:r>
        </a:p>
      </xdr:txBody>
    </xdr:sp>
    <xdr:clientData/>
  </xdr:twoCellAnchor>
  <xdr:twoCellAnchor>
    <xdr:from>
      <xdr:col>20</xdr:col>
      <xdr:colOff>247651</xdr:colOff>
      <xdr:row>16</xdr:row>
      <xdr:rowOff>52915</xdr:rowOff>
    </xdr:from>
    <xdr:to>
      <xdr:col>23</xdr:col>
      <xdr:colOff>605668</xdr:colOff>
      <xdr:row>18</xdr:row>
      <xdr:rowOff>123414</xdr:rowOff>
    </xdr:to>
    <xdr:sp macro="" textlink="">
      <xdr:nvSpPr>
        <xdr:cNvPr id="15" name="Rectangle: Rounded Corners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57559AA-8B6A-4607-8ADD-27FAA57BD49C}"/>
            </a:ext>
          </a:extLst>
        </xdr:cNvPr>
        <xdr:cNvSpPr/>
      </xdr:nvSpPr>
      <xdr:spPr>
        <a:xfrm>
          <a:off x="9527118" y="3194048"/>
          <a:ext cx="2059817" cy="45996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POZITIA FINANCIARA</a:t>
          </a:r>
        </a:p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COMPARATII</a:t>
          </a:r>
        </a:p>
      </xdr:txBody>
    </xdr:sp>
    <xdr:clientData/>
  </xdr:twoCellAnchor>
  <xdr:twoCellAnchor editAs="oneCell">
    <xdr:from>
      <xdr:col>15</xdr:col>
      <xdr:colOff>522817</xdr:colOff>
      <xdr:row>1</xdr:row>
      <xdr:rowOff>39158</xdr:rowOff>
    </xdr:from>
    <xdr:to>
      <xdr:col>19</xdr:col>
      <xdr:colOff>406401</xdr:colOff>
      <xdr:row>3</xdr:row>
      <xdr:rowOff>169121</xdr:rowOff>
    </xdr:to>
    <xdr:pic>
      <xdr:nvPicPr>
        <xdr:cNvPr id="12" name="Imagine 1" descr="O imagine care conține text&#10;&#10;Descriere generată automat">
          <a:extLst>
            <a:ext uri="{FF2B5EF4-FFF2-40B4-BE49-F238E27FC236}">
              <a16:creationId xmlns:a16="http://schemas.microsoft.com/office/drawing/2014/main" id="{E70DF81B-785C-4B71-9C22-E977B35463D3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1350" y="140758"/>
          <a:ext cx="2135717" cy="502496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0.34483</cdr:x>
      <cdr:y>0.85533</cdr:y>
    </cdr:from>
    <cdr:to>
      <cdr:x>0.58793</cdr:x>
      <cdr:y>0.9349</cdr:y>
    </cdr:to>
    <cdr:sp macro="" textlink="hiddenPage!$O$23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239357C1-CB08-426B-A395-39008F9F3DD1}"/>
            </a:ext>
          </a:extLst>
        </cdr:cNvPr>
        <cdr:cNvSpPr/>
      </cdr:nvSpPr>
      <cdr:spPr>
        <a:xfrm xmlns:a="http://schemas.openxmlformats.org/drawingml/2006/main">
          <a:off x="1905000" y="2252663"/>
          <a:ext cx="1343025" cy="20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fld id="{A30024D5-E9B9-4590-B6E9-99EBCADEAB94}" type="TxLink">
            <a:rPr lang="en-US" sz="1050" b="0" i="0" u="none" strike="noStrike">
              <a:solidFill>
                <a:schemeClr val="bg1"/>
              </a:solidFill>
              <a:latin typeface="Candara"/>
            </a:rPr>
            <a:pPr/>
            <a:t>Total  : 141,611,864 lei</a:t>
          </a:fld>
          <a:endParaRPr lang="en-US" sz="1050">
            <a:solidFill>
              <a:schemeClr val="bg1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655320</xdr:colOff>
      <xdr:row>0</xdr:row>
      <xdr:rowOff>45720</xdr:rowOff>
    </xdr:from>
    <xdr:to>
      <xdr:col>6</xdr:col>
      <xdr:colOff>817749</xdr:colOff>
      <xdr:row>1</xdr:row>
      <xdr:rowOff>119433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263216-2D1E-4B87-B1A0-95A7ED872C8C}"/>
            </a:ext>
          </a:extLst>
        </xdr:cNvPr>
        <xdr:cNvSpPr/>
      </xdr:nvSpPr>
      <xdr:spPr>
        <a:xfrm>
          <a:off x="8610600" y="45720"/>
          <a:ext cx="977769" cy="256593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313266</xdr:colOff>
      <xdr:row>17</xdr:row>
      <xdr:rowOff>119804</xdr:rowOff>
    </xdr:from>
    <xdr:to>
      <xdr:col>19</xdr:col>
      <xdr:colOff>188808</xdr:colOff>
      <xdr:row>32</xdr:row>
      <xdr:rowOff>66041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61B0DD32-B83D-40AE-80DE-6614AAF9160E}"/>
            </a:ext>
          </a:extLst>
        </xdr:cNvPr>
        <xdr:cNvGrpSpPr/>
      </xdr:nvGrpSpPr>
      <xdr:grpSpPr>
        <a:xfrm>
          <a:off x="8703733" y="4082204"/>
          <a:ext cx="5107942" cy="2782570"/>
          <a:chOff x="7984067" y="2837603"/>
          <a:chExt cx="5158740" cy="2791037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75D7D66F-898A-4D20-9EAF-1DE74597F787}"/>
              </a:ext>
            </a:extLst>
          </xdr:cNvPr>
          <xdr:cNvGraphicFramePr/>
        </xdr:nvGraphicFramePr>
        <xdr:xfrm>
          <a:off x="7984067" y="2837603"/>
          <a:ext cx="5158740" cy="27910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6" name="Straight Arrow Connector 5">
            <a:extLst>
              <a:ext uri="{FF2B5EF4-FFF2-40B4-BE49-F238E27FC236}">
                <a16:creationId xmlns:a16="http://schemas.microsoft.com/office/drawing/2014/main" id="{182030AC-CDD7-4528-9E07-D3A5864C71D5}"/>
              </a:ext>
            </a:extLst>
          </xdr:cNvPr>
          <xdr:cNvCxnSpPr/>
        </xdr:nvCxnSpPr>
        <xdr:spPr>
          <a:xfrm>
            <a:off x="8390467" y="3276600"/>
            <a:ext cx="4343400" cy="0"/>
          </a:xfrm>
          <a:prstGeom prst="straightConnector1">
            <a:avLst/>
          </a:prstGeom>
          <a:ln>
            <a:solidFill>
              <a:schemeClr val="accent4">
                <a:lumMod val="20000"/>
                <a:lumOff val="80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L$19">
        <xdr:nvSpPr>
          <xdr:cNvPr id="7" name="Oval 6">
            <a:extLst>
              <a:ext uri="{FF2B5EF4-FFF2-40B4-BE49-F238E27FC236}">
                <a16:creationId xmlns:a16="http://schemas.microsoft.com/office/drawing/2014/main" id="{1B0180C3-D2BD-4C51-83D8-231A3F778E32}"/>
              </a:ext>
            </a:extLst>
          </xdr:cNvPr>
          <xdr:cNvSpPr/>
        </xdr:nvSpPr>
        <xdr:spPr>
          <a:xfrm>
            <a:off x="10232814" y="3087793"/>
            <a:ext cx="609600" cy="407247"/>
          </a:xfrm>
          <a:prstGeom prst="ellipse">
            <a:avLst/>
          </a:prstGeom>
          <a:solidFill>
            <a:schemeClr val="accent4">
              <a:lumMod val="20000"/>
              <a:lumOff val="80000"/>
            </a:schemeClr>
          </a:solidFill>
          <a:ln>
            <a:solidFill>
              <a:schemeClr val="accent4">
                <a:lumMod val="20000"/>
                <a:lumOff val="8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CEADEE9A-21C6-4C9C-9CDC-4702DCF315E1}" type="TxLink">
              <a:rPr lang="en-US" sz="1100" b="0" i="0" u="none" strike="noStrike">
                <a:solidFill>
                  <a:schemeClr val="tx2">
                    <a:lumMod val="75000"/>
                  </a:schemeClr>
                </a:solidFill>
                <a:latin typeface="Candara"/>
              </a:rPr>
              <a:pPr algn="ctr"/>
              <a:t>25%</a:t>
            </a:fld>
            <a:endParaRPr lang="ro-RO" sz="1000">
              <a:solidFill>
                <a:schemeClr val="tx2">
                  <a:lumMod val="75000"/>
                </a:schemeClr>
              </a:solidFill>
              <a:latin typeface="Candara" panose="020E0502030303020204" pitchFamily="34" charset="0"/>
            </a:endParaRPr>
          </a:p>
        </xdr:txBody>
      </xdr:sp>
    </xdr:grpSp>
    <xdr:clientData/>
  </xdr:twoCellAnchor>
  <xdr:twoCellAnchor>
    <xdr:from>
      <xdr:col>10</xdr:col>
      <xdr:colOff>313266</xdr:colOff>
      <xdr:row>0</xdr:row>
      <xdr:rowOff>110067</xdr:rowOff>
    </xdr:from>
    <xdr:to>
      <xdr:col>19</xdr:col>
      <xdr:colOff>152400</xdr:colOff>
      <xdr:row>16</xdr:row>
      <xdr:rowOff>135466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04D9481-1F58-49FE-9D7E-C2E24276DC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347133</xdr:colOff>
      <xdr:row>0</xdr:row>
      <xdr:rowOff>118533</xdr:rowOff>
    </xdr:from>
    <xdr:to>
      <xdr:col>9</xdr:col>
      <xdr:colOff>478236</xdr:colOff>
      <xdr:row>1</xdr:row>
      <xdr:rowOff>180393</xdr:rowOff>
    </xdr:to>
    <xdr:sp macro="" textlink="">
      <xdr:nvSpPr>
        <xdr:cNvPr id="8" name="Rectangle: Rounded Corner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80CF0B-D276-4DA1-9248-A21689F5120D}"/>
            </a:ext>
          </a:extLst>
        </xdr:cNvPr>
        <xdr:cNvSpPr/>
      </xdr:nvSpPr>
      <xdr:spPr>
        <a:xfrm>
          <a:off x="6858000" y="118533"/>
          <a:ext cx="977769" cy="256593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0</xdr:row>
      <xdr:rowOff>59267</xdr:rowOff>
    </xdr:from>
    <xdr:to>
      <xdr:col>9</xdr:col>
      <xdr:colOff>503635</xdr:colOff>
      <xdr:row>1</xdr:row>
      <xdr:rowOff>129593</xdr:rowOff>
    </xdr:to>
    <xdr:sp macro="" textlink="">
      <xdr:nvSpPr>
        <xdr:cNvPr id="4" name="Rectangle: Rounded Corner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FECF17-FCE6-411F-BB88-49857FC89A29}"/>
            </a:ext>
          </a:extLst>
        </xdr:cNvPr>
        <xdr:cNvSpPr/>
      </xdr:nvSpPr>
      <xdr:spPr>
        <a:xfrm>
          <a:off x="9694333" y="59267"/>
          <a:ext cx="977769" cy="256593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472440</xdr:colOff>
      <xdr:row>55</xdr:row>
      <xdr:rowOff>133350</xdr:rowOff>
    </xdr:from>
    <xdr:to>
      <xdr:col>8</xdr:col>
      <xdr:colOff>551748</xdr:colOff>
      <xdr:row>70</xdr:row>
      <xdr:rowOff>133350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A6E34168-A370-43E6-B81C-EE4D081809CC}"/>
            </a:ext>
          </a:extLst>
        </xdr:cNvPr>
        <xdr:cNvGrpSpPr/>
      </xdr:nvGrpSpPr>
      <xdr:grpSpPr>
        <a:xfrm>
          <a:off x="4375573" y="10378017"/>
          <a:ext cx="5057708" cy="2794000"/>
          <a:chOff x="4373880" y="10191750"/>
          <a:chExt cx="5062788" cy="274320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B10851A8-2245-44C1-BCA2-AA0F7D3451DD}"/>
              </a:ext>
            </a:extLst>
          </xdr:cNvPr>
          <xdr:cNvGraphicFramePr/>
        </xdr:nvGraphicFramePr>
        <xdr:xfrm>
          <a:off x="4373880" y="1019175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$A$59">
        <xdr:nvSpPr>
          <xdr:cNvPr id="3" name="Rectangle 2">
            <a:extLst>
              <a:ext uri="{FF2B5EF4-FFF2-40B4-BE49-F238E27FC236}">
                <a16:creationId xmlns:a16="http://schemas.microsoft.com/office/drawing/2014/main" id="{948E4F4B-7393-4EBA-96D9-F5E39E48E8F4}"/>
              </a:ext>
            </a:extLst>
          </xdr:cNvPr>
          <xdr:cNvSpPr/>
        </xdr:nvSpPr>
        <xdr:spPr>
          <a:xfrm>
            <a:off x="7213525" y="10660380"/>
            <a:ext cx="2196000" cy="288000"/>
          </a:xfrm>
          <a:prstGeom prst="rect">
            <a:avLst/>
          </a:prstGeom>
          <a:solidFill>
            <a:srgbClr val="E92823"/>
          </a:solidFill>
          <a:ln>
            <a:solidFill>
              <a:srgbClr val="E9282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fld id="{11403567-19F7-471F-AEB9-98E9641E6865}" type="TxLink">
              <a:rPr lang="en-US" sz="900" b="0" i="0" u="none" strike="noStrike">
                <a:solidFill>
                  <a:sysClr val="windowText" lastClr="000000"/>
                </a:solidFill>
                <a:latin typeface="Candara" panose="020E0502030303020204" pitchFamily="34" charset="0"/>
                <a:ea typeface="Verdana"/>
              </a:rPr>
              <a:pPr algn="l"/>
              <a:t>Datorii curente: 105,950,203 lei | 37%</a:t>
            </a:fld>
            <a:endParaRPr lang="en-US" sz="1100">
              <a:solidFill>
                <a:sysClr val="windowText" lastClr="000000"/>
              </a:solidFill>
              <a:latin typeface="Candara" panose="020E0502030303020204" pitchFamily="34" charset="0"/>
            </a:endParaRPr>
          </a:p>
        </xdr:txBody>
      </xdr:sp>
      <xdr:sp macro="" textlink="$A$60">
        <xdr:nvSpPr>
          <xdr:cNvPr id="4" name="Rectangle 3">
            <a:extLst>
              <a:ext uri="{FF2B5EF4-FFF2-40B4-BE49-F238E27FC236}">
                <a16:creationId xmlns:a16="http://schemas.microsoft.com/office/drawing/2014/main" id="{0F209A0C-321C-4C2F-955C-69B963517826}"/>
              </a:ext>
            </a:extLst>
          </xdr:cNvPr>
          <xdr:cNvSpPr/>
        </xdr:nvSpPr>
        <xdr:spPr>
          <a:xfrm>
            <a:off x="7221980" y="11050012"/>
            <a:ext cx="2196000" cy="288000"/>
          </a:xfrm>
          <a:prstGeom prst="rect">
            <a:avLst/>
          </a:prstGeom>
          <a:solidFill>
            <a:srgbClr val="FF8585"/>
          </a:solidFill>
          <a:ln>
            <a:solidFill>
              <a:srgbClr val="FF858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fld id="{96D60E19-C9DC-4CD3-9758-EAE1BE427EB0}" type="TxLink">
              <a:rPr lang="en-US" sz="900" b="0" i="0" u="none" strike="noStrike">
                <a:solidFill>
                  <a:sysClr val="windowText" lastClr="000000"/>
                </a:solidFill>
                <a:latin typeface="Candara" panose="020E0502030303020204" pitchFamily="34" charset="0"/>
                <a:ea typeface="Verdana"/>
              </a:rPr>
              <a:pPr algn="l"/>
              <a:t>Datorii pe termen lung: 105,950,203 lei | 14%</a:t>
            </a:fld>
            <a:endParaRPr lang="en-US" sz="1100">
              <a:solidFill>
                <a:sysClr val="windowText" lastClr="000000"/>
              </a:solidFill>
              <a:latin typeface="Candara" panose="020E0502030303020204" pitchFamily="34" charset="0"/>
            </a:endParaRPr>
          </a:p>
        </xdr:txBody>
      </xdr:sp>
      <xdr:sp macro="" textlink="$A$61">
        <xdr:nvSpPr>
          <xdr:cNvPr id="5" name="Rectangle 4">
            <a:extLst>
              <a:ext uri="{FF2B5EF4-FFF2-40B4-BE49-F238E27FC236}">
                <a16:creationId xmlns:a16="http://schemas.microsoft.com/office/drawing/2014/main" id="{1585F60B-4D63-4B57-9CE2-7355837D66BB}"/>
              </a:ext>
            </a:extLst>
          </xdr:cNvPr>
          <xdr:cNvSpPr/>
        </xdr:nvSpPr>
        <xdr:spPr>
          <a:xfrm>
            <a:off x="7230433" y="11418398"/>
            <a:ext cx="2196000" cy="288000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fld id="{C720DD8B-CFBD-483D-93E6-78CC50E2DCAB}" type="TxLink">
              <a:rPr lang="en-US" sz="900" b="0" i="0" u="none" strike="noStrike">
                <a:solidFill>
                  <a:sysClr val="windowText" lastClr="000000"/>
                </a:solidFill>
                <a:latin typeface="Candara" panose="020E0502030303020204" pitchFamily="34" charset="0"/>
                <a:ea typeface="Verdana"/>
              </a:rPr>
              <a:pPr algn="l"/>
              <a:t>Capitaluri: 105,950,203 lei | 49%</a:t>
            </a:fld>
            <a:endParaRPr lang="en-US" sz="1100">
              <a:solidFill>
                <a:sysClr val="windowText" lastClr="000000"/>
              </a:solidFill>
              <a:latin typeface="Candara" panose="020E0502030303020204" pitchFamily="34" charset="0"/>
            </a:endParaRPr>
          </a:p>
        </xdr:txBody>
      </xdr:sp>
      <xdr:sp macro="" textlink="$A$62">
        <xdr:nvSpPr>
          <xdr:cNvPr id="6" name="Rectangle 5">
            <a:extLst>
              <a:ext uri="{FF2B5EF4-FFF2-40B4-BE49-F238E27FC236}">
                <a16:creationId xmlns:a16="http://schemas.microsoft.com/office/drawing/2014/main" id="{3C8D8558-FAA7-4C6C-8818-9F49DB0B2CC0}"/>
              </a:ext>
            </a:extLst>
          </xdr:cNvPr>
          <xdr:cNvSpPr/>
        </xdr:nvSpPr>
        <xdr:spPr>
          <a:xfrm>
            <a:off x="7239000" y="11782246"/>
            <a:ext cx="2196000" cy="28800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fld id="{9B3E8D8A-B0CF-4EDD-A32E-0695B25AEBD8}" type="TxLink">
              <a:rPr lang="en-US" sz="900" b="0" i="0" u="none" strike="noStrike">
                <a:solidFill>
                  <a:sysClr val="windowText" lastClr="000000"/>
                </a:solidFill>
                <a:latin typeface="Candara" panose="020E0502030303020204" pitchFamily="34" charset="0"/>
                <a:ea typeface="Verdana"/>
              </a:rPr>
              <a:pPr algn="l"/>
              <a:t>Active pe termen lung: 105,950,203 lei | 62%</a:t>
            </a:fld>
            <a:endParaRPr lang="en-US" sz="1100">
              <a:solidFill>
                <a:sysClr val="windowText" lastClr="000000"/>
              </a:solidFill>
              <a:latin typeface="Candara" panose="020E0502030303020204" pitchFamily="34" charset="0"/>
            </a:endParaRPr>
          </a:p>
        </xdr:txBody>
      </xdr:sp>
      <xdr:sp macro="" textlink="$A$63">
        <xdr:nvSpPr>
          <xdr:cNvPr id="7" name="Rectangle 6">
            <a:extLst>
              <a:ext uri="{FF2B5EF4-FFF2-40B4-BE49-F238E27FC236}">
                <a16:creationId xmlns:a16="http://schemas.microsoft.com/office/drawing/2014/main" id="{72D32CCF-4ABB-47A2-8295-CB72EA4B2144}"/>
              </a:ext>
            </a:extLst>
          </xdr:cNvPr>
          <xdr:cNvSpPr/>
        </xdr:nvSpPr>
        <xdr:spPr>
          <a:xfrm>
            <a:off x="7240668" y="12136199"/>
            <a:ext cx="2196000" cy="288000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fld id="{3100230F-0DB7-4852-8506-861DC84B2823}" type="TxLink">
              <a:rPr lang="en-US" sz="900" b="0" i="0" u="none" strike="noStrike">
                <a:solidFill>
                  <a:sysClr val="windowText" lastClr="000000"/>
                </a:solidFill>
                <a:latin typeface="Candara" panose="020E0502030303020204" pitchFamily="34" charset="0"/>
                <a:ea typeface="Verdana"/>
              </a:rPr>
              <a:pPr algn="l"/>
              <a:t>Active curente: 105,950,203 lei | 38%</a:t>
            </a:fld>
            <a:endParaRPr lang="en-US" sz="1100">
              <a:solidFill>
                <a:sysClr val="windowText" lastClr="000000"/>
              </a:solidFill>
              <a:latin typeface="Candara" panose="020E0502030303020204" pitchFamily="34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99060</xdr:rowOff>
    </xdr:from>
    <xdr:to>
      <xdr:col>11</xdr:col>
      <xdr:colOff>200529</xdr:colOff>
      <xdr:row>2</xdr:row>
      <xdr:rowOff>43233</xdr:rowOff>
    </xdr:to>
    <xdr:sp macro="" textlink="">
      <xdr:nvSpPr>
        <xdr:cNvPr id="4" name="Rectangle: Rounded Corner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1F25C9-6C41-485B-8D55-63AE4C35E44E}"/>
            </a:ext>
          </a:extLst>
        </xdr:cNvPr>
        <xdr:cNvSpPr/>
      </xdr:nvSpPr>
      <xdr:spPr>
        <a:xfrm>
          <a:off x="8724900" y="99060"/>
          <a:ext cx="977769" cy="256593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48597</xdr:colOff>
      <xdr:row>1</xdr:row>
      <xdr:rowOff>155510</xdr:rowOff>
    </xdr:from>
    <xdr:to>
      <xdr:col>12</xdr:col>
      <xdr:colOff>412101</xdr:colOff>
      <xdr:row>2</xdr:row>
      <xdr:rowOff>217715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68FC92-C454-465D-A905-920CE108489D}"/>
            </a:ext>
          </a:extLst>
        </xdr:cNvPr>
        <xdr:cNvSpPr/>
      </xdr:nvSpPr>
      <xdr:spPr>
        <a:xfrm>
          <a:off x="10708821" y="342122"/>
          <a:ext cx="868913" cy="256593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640080</xdr:colOff>
      <xdr:row>0</xdr:row>
      <xdr:rowOff>38100</xdr:rowOff>
    </xdr:from>
    <xdr:to>
      <xdr:col>7</xdr:col>
      <xdr:colOff>10029</xdr:colOff>
      <xdr:row>1</xdr:row>
      <xdr:rowOff>111813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4D0EE3-2991-4AF6-950B-D4531A8D1985}"/>
            </a:ext>
          </a:extLst>
        </xdr:cNvPr>
        <xdr:cNvSpPr/>
      </xdr:nvSpPr>
      <xdr:spPr>
        <a:xfrm>
          <a:off x="8328660" y="38100"/>
          <a:ext cx="977769" cy="256593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1160</xdr:colOff>
      <xdr:row>3</xdr:row>
      <xdr:rowOff>7262</xdr:rowOff>
    </xdr:from>
    <xdr:to>
      <xdr:col>8</xdr:col>
      <xdr:colOff>9072</xdr:colOff>
      <xdr:row>17</xdr:row>
      <xdr:rowOff>104100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D8FBFA-3C40-4BCF-A853-015D6F756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371984</xdr:colOff>
      <xdr:row>21</xdr:row>
      <xdr:rowOff>65630</xdr:rowOff>
    </xdr:from>
    <xdr:to>
      <xdr:col>13</xdr:col>
      <xdr:colOff>248578</xdr:colOff>
      <xdr:row>37</xdr:row>
      <xdr:rowOff>4647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FF98DAD-3B59-4FDB-9787-C979A260F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475572</xdr:colOff>
      <xdr:row>21</xdr:row>
      <xdr:rowOff>93175</xdr:rowOff>
    </xdr:from>
    <xdr:to>
      <xdr:col>24</xdr:col>
      <xdr:colOff>306270</xdr:colOff>
      <xdr:row>37</xdr:row>
      <xdr:rowOff>40206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93A6AD8C-5842-4B56-B9DE-5D6178012314}"/>
            </a:ext>
          </a:extLst>
        </xdr:cNvPr>
        <xdr:cNvGrpSpPr/>
      </xdr:nvGrpSpPr>
      <xdr:grpSpPr>
        <a:xfrm>
          <a:off x="8177215" y="3667318"/>
          <a:ext cx="6343984" cy="2849888"/>
          <a:chOff x="8054143" y="3733859"/>
          <a:chExt cx="6307698" cy="2734836"/>
        </a:xfrm>
      </xdr:grpSpPr>
      <xdr:graphicFrame macro="">
        <xdr:nvGraphicFramePr>
          <xdr:cNvPr id="7" name="Chart 1">
            <a:extLst>
              <a:ext uri="{FF2B5EF4-FFF2-40B4-BE49-F238E27FC236}">
                <a16:creationId xmlns:a16="http://schemas.microsoft.com/office/drawing/2014/main" id="{12D5C9EC-9367-462A-A782-7D2F4E65FDA1}"/>
              </a:ext>
            </a:extLst>
          </xdr:cNvPr>
          <xdr:cNvGraphicFramePr/>
        </xdr:nvGraphicFramePr>
        <xdr:xfrm>
          <a:off x="8054143" y="3733859"/>
          <a:ext cx="6307698" cy="273483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'1.Pozitia Financiara'!A1">
        <xdr:nvSpPr>
          <xdr:cNvPr id="5" name="Rectangle 4">
            <a:extLst>
              <a:ext uri="{FF2B5EF4-FFF2-40B4-BE49-F238E27FC236}">
                <a16:creationId xmlns:a16="http://schemas.microsoft.com/office/drawing/2014/main" id="{7ABAB2E4-A314-4A15-982A-0A8660C4C359}"/>
              </a:ext>
            </a:extLst>
          </xdr:cNvPr>
          <xdr:cNvSpPr/>
        </xdr:nvSpPr>
        <xdr:spPr>
          <a:xfrm rot="16200000">
            <a:off x="6938197" y="4936277"/>
            <a:ext cx="2649667" cy="314164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D408CAFE-3EB6-481C-85E0-DF6AA6AEC3AB}" type="TxLink">
              <a:rPr lang="en-US" sz="1050" b="1" i="0" u="none" strike="noStrike">
                <a:solidFill>
                  <a:sysClr val="windowText" lastClr="000000"/>
                </a:solidFill>
                <a:latin typeface="Candara"/>
              </a:rPr>
              <a:pPr algn="ctr"/>
              <a:t>30 Iunie</a:t>
            </a:fld>
            <a:endParaRPr lang="en-GB" sz="105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18</xdr:col>
      <xdr:colOff>31592</xdr:colOff>
      <xdr:row>2</xdr:row>
      <xdr:rowOff>95081</xdr:rowOff>
    </xdr:from>
    <xdr:to>
      <xdr:col>24</xdr:col>
      <xdr:colOff>341506</xdr:colOff>
      <xdr:row>18</xdr:row>
      <xdr:rowOff>23229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19B891F6-D198-4034-B4EE-32F753EFE76A}"/>
            </a:ext>
          </a:extLst>
        </xdr:cNvPr>
        <xdr:cNvGrpSpPr/>
      </xdr:nvGrpSpPr>
      <xdr:grpSpPr>
        <a:xfrm>
          <a:off x="10490949" y="376295"/>
          <a:ext cx="4065486" cy="2713077"/>
          <a:chOff x="10281421" y="392617"/>
          <a:chExt cx="4045573" cy="2780832"/>
        </a:xfrm>
        <a:solidFill>
          <a:schemeClr val="tx2">
            <a:lumMod val="20000"/>
            <a:lumOff val="80000"/>
          </a:schemeClr>
        </a:solidFill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DC4D9CFA-FC60-46B9-B8B1-3D8486B2D320}"/>
              </a:ext>
            </a:extLst>
          </xdr:cNvPr>
          <xdr:cNvGraphicFramePr/>
        </xdr:nvGraphicFramePr>
        <xdr:xfrm>
          <a:off x="10281421" y="620590"/>
          <a:ext cx="4045573" cy="25528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hiddenPage!D7">
        <xdr:nvSpPr>
          <xdr:cNvPr id="12" name="Rectangle 11">
            <a:extLst>
              <a:ext uri="{FF2B5EF4-FFF2-40B4-BE49-F238E27FC236}">
                <a16:creationId xmlns:a16="http://schemas.microsoft.com/office/drawing/2014/main" id="{FF5D3A54-A3CC-46B4-93B8-C25DA7C5B204}"/>
              </a:ext>
            </a:extLst>
          </xdr:cNvPr>
          <xdr:cNvSpPr/>
        </xdr:nvSpPr>
        <xdr:spPr>
          <a:xfrm>
            <a:off x="10289323" y="392617"/>
            <a:ext cx="4037670" cy="172187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DE785A89-939D-4E69-8193-EAFCF1C03C85}" type="TxLink">
              <a:rPr lang="en-US" sz="1000" b="0" i="0" u="none" strike="noStrike">
                <a:solidFill>
                  <a:schemeClr val="bg1"/>
                </a:solidFill>
                <a:latin typeface="Candara"/>
              </a:rPr>
              <a:pPr algn="ctr"/>
              <a:t>Structura indicatorului Activ la  30 Iunie 2021</a:t>
            </a:fld>
            <a:endParaRPr lang="en-GB" sz="10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9</xdr:col>
      <xdr:colOff>19415</xdr:colOff>
      <xdr:row>2</xdr:row>
      <xdr:rowOff>53326</xdr:rowOff>
    </xdr:from>
    <xdr:to>
      <xdr:col>17</xdr:col>
      <xdr:colOff>110601</xdr:colOff>
      <xdr:row>17</xdr:row>
      <xdr:rowOff>152497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9581C866-3A74-465B-AC11-33F86D10E835}"/>
            </a:ext>
          </a:extLst>
        </xdr:cNvPr>
        <xdr:cNvGrpSpPr/>
      </xdr:nvGrpSpPr>
      <xdr:grpSpPr>
        <a:xfrm>
          <a:off x="5770701" y="334540"/>
          <a:ext cx="4545257" cy="2702671"/>
          <a:chOff x="5629042" y="386314"/>
          <a:chExt cx="4516993" cy="2759257"/>
        </a:xfrm>
        <a:solidFill>
          <a:schemeClr val="bg2">
            <a:lumMod val="50000"/>
          </a:schemeClr>
        </a:solidFill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ED16D11D-85A4-457E-9BDB-C75A67B1D9FE}"/>
              </a:ext>
            </a:extLst>
          </xdr:cNvPr>
          <xdr:cNvGraphicFramePr/>
        </xdr:nvGraphicFramePr>
        <xdr:xfrm>
          <a:off x="5629042" y="386314"/>
          <a:ext cx="4516993" cy="27592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'1.Pozitia Financiara'!A1">
        <xdr:nvSpPr>
          <xdr:cNvPr id="13" name="Rectangle 12">
            <a:extLst>
              <a:ext uri="{FF2B5EF4-FFF2-40B4-BE49-F238E27FC236}">
                <a16:creationId xmlns:a16="http://schemas.microsoft.com/office/drawing/2014/main" id="{DBFE0058-947A-430E-8651-EFDAB96FD427}"/>
              </a:ext>
            </a:extLst>
          </xdr:cNvPr>
          <xdr:cNvSpPr/>
        </xdr:nvSpPr>
        <xdr:spPr>
          <a:xfrm rot="16200000">
            <a:off x="4606560" y="1476431"/>
            <a:ext cx="2361647" cy="257751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fld id="{EAE487CF-2ACE-48D1-9EC1-715482600ACC}" type="TxLink">
              <a:rPr lang="en-US" sz="1000" b="1" i="0" u="none" strike="noStrike">
                <a:solidFill>
                  <a:sysClr val="windowText" lastClr="000000"/>
                </a:solidFill>
                <a:latin typeface="Candara"/>
              </a:rPr>
              <a:pPr algn="ctr"/>
              <a:t>30 Iunie</a:t>
            </a:fld>
            <a:endParaRPr lang="en-GB" sz="10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22</xdr:col>
      <xdr:colOff>598715</xdr:colOff>
      <xdr:row>0</xdr:row>
      <xdr:rowOff>36286</xdr:rowOff>
    </xdr:from>
    <xdr:to>
      <xdr:col>24</xdr:col>
      <xdr:colOff>324627</xdr:colOff>
      <xdr:row>2</xdr:row>
      <xdr:rowOff>11665</xdr:rowOff>
    </xdr:to>
    <xdr:sp macro="" textlink="">
      <xdr:nvSpPr>
        <xdr:cNvPr id="14" name="Rectangle: Rounded Corners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517C64F-BEEC-4342-8500-3B9E49491D62}"/>
            </a:ext>
          </a:extLst>
        </xdr:cNvPr>
        <xdr:cNvSpPr/>
      </xdr:nvSpPr>
      <xdr:spPr>
        <a:xfrm>
          <a:off x="13407572" y="36286"/>
          <a:ext cx="977769" cy="256593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0.01119</cdr:x>
      <cdr:y>0.01152</cdr:y>
    </cdr:from>
    <cdr:to>
      <cdr:x>0.06255</cdr:x>
      <cdr:y>0.86504</cdr:y>
    </cdr:to>
    <cdr:sp macro="" textlink="'1.Pozitia Financiara'!$A$1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7ABAB2E4-A314-4A15-982A-0A8660C4C359}"/>
            </a:ext>
          </a:extLst>
        </cdr:cNvPr>
        <cdr:cNvSpPr/>
      </cdr:nvSpPr>
      <cdr:spPr>
        <a:xfrm xmlns:a="http://schemas.openxmlformats.org/drawingml/2006/main" rot="16200000">
          <a:off x="-888503" y="974109"/>
          <a:ext cx="2149930" cy="25976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D19E14F2-9F08-4C9A-95CD-B0B888FE6AEF}" type="TxLink">
            <a:rPr lang="en-US" sz="1050" b="1" i="0" u="none" strike="noStrike">
              <a:solidFill>
                <a:sysClr val="windowText" lastClr="000000"/>
              </a:solidFill>
              <a:latin typeface="Candara"/>
            </a:rPr>
            <a:pPr algn="ctr"/>
            <a:t>30 Iunie</a:t>
          </a:fld>
          <a:endParaRPr lang="en-GB" sz="1050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omcarbon.com/actionari/" TargetMode="External"/><Relationship Id="rId2" Type="http://schemas.openxmlformats.org/officeDocument/2006/relationships/hyperlink" Target="mailto:investor.relations@romcarbon.com" TargetMode="External"/><Relationship Id="rId1" Type="http://schemas.openxmlformats.org/officeDocument/2006/relationships/hyperlink" Target="http://www.romcarbon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T31"/>
  <sheetViews>
    <sheetView showGridLines="0" tabSelected="1" zoomScale="90" zoomScaleNormal="90" workbookViewId="0">
      <selection activeCell="V24" sqref="V24"/>
    </sheetView>
  </sheetViews>
  <sheetFormatPr defaultColWidth="9.109375" defaultRowHeight="14.4" x14ac:dyDescent="0.3"/>
  <cols>
    <col min="1" max="1" width="5.33203125" style="108" customWidth="1"/>
    <col min="2" max="2" width="1.5546875" style="108" customWidth="1"/>
    <col min="3" max="4" width="1.6640625" style="108" customWidth="1"/>
    <col min="5" max="5" width="3.33203125" style="108" customWidth="1"/>
    <col min="6" max="6" width="0.5546875" style="108" customWidth="1"/>
    <col min="7" max="7" width="3.6640625" style="108" customWidth="1"/>
    <col min="8" max="8" width="11.33203125" style="108" customWidth="1"/>
    <col min="9" max="18" width="9.109375" style="108"/>
    <col min="19" max="19" width="5.44140625" style="108" customWidth="1"/>
    <col min="20" max="21" width="9.109375" style="108"/>
    <col min="22" max="22" width="8" style="108" customWidth="1"/>
    <col min="23" max="23" width="7.6640625" style="108" customWidth="1"/>
    <col min="24" max="16384" width="9.109375" style="108"/>
  </cols>
  <sheetData>
    <row r="1" spans="1:20" ht="8.25" customHeight="1" x14ac:dyDescent="0.3">
      <c r="A1" s="107"/>
      <c r="B1" s="107"/>
      <c r="C1" s="107"/>
      <c r="D1" s="107"/>
      <c r="E1" s="107"/>
      <c r="F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20" x14ac:dyDescent="0.3">
      <c r="B2" s="107"/>
      <c r="C2" s="107"/>
      <c r="D2" s="107"/>
      <c r="E2" s="107"/>
      <c r="F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20" x14ac:dyDescent="0.3">
      <c r="A3" s="107"/>
      <c r="B3" s="107"/>
      <c r="C3" s="107"/>
      <c r="D3" s="107"/>
      <c r="E3" s="107"/>
      <c r="F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20" x14ac:dyDescent="0.3">
      <c r="A4" s="107"/>
      <c r="B4" s="107"/>
      <c r="C4" s="107"/>
      <c r="D4" s="107"/>
      <c r="E4" s="107"/>
      <c r="F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20" ht="9.75" customHeight="1" x14ac:dyDescent="0.3">
      <c r="A5" s="107"/>
      <c r="B5" s="107"/>
      <c r="C5" s="107"/>
      <c r="D5" s="107"/>
      <c r="E5" s="109"/>
      <c r="F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20" ht="6" customHeight="1" x14ac:dyDescent="0.3">
      <c r="A6" s="107"/>
      <c r="B6" s="107"/>
      <c r="C6" s="107"/>
      <c r="D6" s="107"/>
      <c r="E6" s="109"/>
      <c r="F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20" ht="9.6" customHeight="1" x14ac:dyDescent="0.3">
      <c r="A7" s="110"/>
    </row>
    <row r="8" spans="1:20" ht="21" x14ac:dyDescent="0.4">
      <c r="H8" s="205" t="str">
        <f>"SITUATII FINANCIARE CONSOLIDATE  (IFRS - EU)"&amp;" - SEMESTRUL1"</f>
        <v>SITUATII FINANCIARE CONSOLIDATE  (IFRS - EU) - SEMESTRUL1</v>
      </c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</row>
    <row r="9" spans="1:20" ht="12.75" customHeight="1" x14ac:dyDescent="0.45"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</row>
    <row r="10" spans="1:20" ht="7.5" customHeight="1" x14ac:dyDescent="0.45"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</row>
    <row r="11" spans="1:20" ht="18" x14ac:dyDescent="0.35">
      <c r="I11" s="111"/>
      <c r="J11" s="111"/>
      <c r="K11" s="111"/>
      <c r="L11" s="111"/>
      <c r="M11" s="111"/>
      <c r="N11" s="111"/>
      <c r="O11" s="111"/>
      <c r="P11" s="112"/>
      <c r="Q11" s="111"/>
      <c r="R11" s="111"/>
      <c r="S11" s="112"/>
      <c r="T11" s="113"/>
    </row>
    <row r="12" spans="1:20" ht="18" x14ac:dyDescent="0.35">
      <c r="I12" s="111"/>
      <c r="J12" s="111"/>
      <c r="K12" s="111"/>
      <c r="L12" s="111"/>
      <c r="M12" s="111"/>
      <c r="N12" s="111"/>
      <c r="O12" s="111"/>
      <c r="P12" s="111"/>
      <c r="S12" s="114"/>
      <c r="T12" s="114"/>
    </row>
    <row r="13" spans="1:20" ht="18" x14ac:dyDescent="0.35">
      <c r="I13" s="111"/>
      <c r="J13" s="111"/>
      <c r="K13" s="111"/>
      <c r="L13" s="111"/>
      <c r="M13" s="111"/>
      <c r="N13" s="111"/>
      <c r="O13" s="111"/>
      <c r="P13" s="111"/>
      <c r="S13" s="114"/>
      <c r="T13" s="114"/>
    </row>
    <row r="14" spans="1:20" ht="18" x14ac:dyDescent="0.35">
      <c r="I14" s="111"/>
      <c r="J14" s="111"/>
      <c r="K14" s="111"/>
      <c r="L14" s="111"/>
      <c r="M14" s="111"/>
      <c r="N14" s="111"/>
      <c r="O14" s="111"/>
      <c r="P14" s="111"/>
      <c r="S14" s="111"/>
      <c r="T14" s="113"/>
    </row>
    <row r="15" spans="1:20" ht="15" customHeight="1" x14ac:dyDescent="0.35">
      <c r="I15" s="111"/>
      <c r="J15" s="111"/>
      <c r="K15" s="111"/>
      <c r="L15" s="111"/>
      <c r="M15" s="111"/>
      <c r="N15" s="111"/>
      <c r="O15" s="111"/>
      <c r="P15" s="111"/>
      <c r="S15" s="111"/>
      <c r="T15" s="113"/>
    </row>
    <row r="16" spans="1:20" ht="15" customHeight="1" x14ac:dyDescent="0.35">
      <c r="I16" s="111"/>
      <c r="J16" s="111"/>
      <c r="K16" s="111"/>
      <c r="L16" s="111"/>
      <c r="M16" s="111"/>
      <c r="N16" s="111"/>
      <c r="O16" s="111"/>
      <c r="P16" s="111"/>
      <c r="S16" s="111"/>
      <c r="T16" s="113"/>
    </row>
    <row r="17" spans="8:20" ht="15" customHeight="1" x14ac:dyDescent="0.35">
      <c r="I17" s="111"/>
      <c r="J17" s="111"/>
      <c r="K17" s="111"/>
      <c r="L17" s="111"/>
      <c r="M17" s="111"/>
      <c r="N17" s="111"/>
      <c r="O17" s="111"/>
      <c r="P17" s="111"/>
      <c r="S17" s="111"/>
      <c r="T17" s="113"/>
    </row>
    <row r="18" spans="8:20" ht="15" customHeight="1" x14ac:dyDescent="0.35">
      <c r="I18" s="111"/>
      <c r="J18" s="111"/>
      <c r="K18" s="111"/>
      <c r="L18" s="111"/>
      <c r="M18" s="111"/>
      <c r="N18" s="111"/>
      <c r="O18" s="111"/>
      <c r="P18" s="111"/>
      <c r="S18" s="111"/>
      <c r="T18" s="113"/>
    </row>
    <row r="19" spans="8:20" ht="15" customHeight="1" x14ac:dyDescent="0.35"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2"/>
      <c r="T19" s="113"/>
    </row>
    <row r="20" spans="8:20" ht="15" customHeight="1" x14ac:dyDescent="0.35"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2"/>
      <c r="T20" s="113"/>
    </row>
    <row r="21" spans="8:20" ht="10.199999999999999" customHeight="1" x14ac:dyDescent="0.35"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2"/>
      <c r="T21" s="113"/>
    </row>
    <row r="22" spans="8:20" ht="15" customHeight="1" x14ac:dyDescent="0.3">
      <c r="H22" s="211" t="s">
        <v>125</v>
      </c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</row>
    <row r="23" spans="8:20" ht="15" customHeight="1" x14ac:dyDescent="0.3">
      <c r="H23" s="209" t="s">
        <v>126</v>
      </c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</row>
    <row r="24" spans="8:20" ht="15" customHeight="1" x14ac:dyDescent="0.3">
      <c r="H24" s="212" t="s">
        <v>127</v>
      </c>
      <c r="I24" s="212"/>
      <c r="J24" s="212"/>
      <c r="K24" s="212"/>
      <c r="L24" s="212"/>
      <c r="M24" s="212"/>
      <c r="N24" s="212"/>
      <c r="O24" s="212"/>
      <c r="P24" s="212"/>
      <c r="Q24" s="212"/>
      <c r="R24" s="115"/>
      <c r="S24" s="115"/>
      <c r="T24" s="115"/>
    </row>
    <row r="25" spans="8:20" ht="4.2" customHeight="1" x14ac:dyDescent="0.3"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</row>
    <row r="26" spans="8:20" ht="15" customHeight="1" x14ac:dyDescent="0.3">
      <c r="H26" s="208"/>
      <c r="I26" s="208"/>
      <c r="J26" s="208"/>
      <c r="K26" s="208"/>
      <c r="L26" s="208"/>
      <c r="M26" s="208"/>
      <c r="N26" s="208"/>
      <c r="O26" s="117"/>
      <c r="P26" s="118"/>
      <c r="Q26" s="207" t="s">
        <v>128</v>
      </c>
      <c r="R26" s="207"/>
      <c r="S26" s="207"/>
      <c r="T26" s="207"/>
    </row>
    <row r="27" spans="8:20" ht="15" customHeight="1" x14ac:dyDescent="0.3">
      <c r="H27" s="208"/>
      <c r="I27" s="208"/>
      <c r="J27" s="208"/>
      <c r="K27" s="208"/>
      <c r="L27" s="208"/>
      <c r="M27" s="208"/>
      <c r="N27" s="208"/>
      <c r="O27" s="119"/>
      <c r="P27" s="120"/>
      <c r="Q27" s="207" t="s">
        <v>129</v>
      </c>
      <c r="R27" s="207"/>
      <c r="S27" s="207"/>
      <c r="T27" s="207"/>
    </row>
    <row r="28" spans="8:20" x14ac:dyDescent="0.3">
      <c r="H28" s="121"/>
      <c r="I28" s="121"/>
      <c r="J28" s="121"/>
      <c r="K28" s="121"/>
      <c r="L28" s="121"/>
      <c r="M28" s="121"/>
      <c r="N28" s="121"/>
      <c r="O28" s="122"/>
      <c r="P28" s="123"/>
      <c r="Q28" s="207" t="s">
        <v>130</v>
      </c>
      <c r="R28" s="207"/>
      <c r="S28" s="207"/>
      <c r="T28" s="207"/>
    </row>
    <row r="29" spans="8:20" ht="15" customHeight="1" x14ac:dyDescent="0.3">
      <c r="H29" s="121"/>
      <c r="I29" s="121"/>
      <c r="J29" s="121"/>
      <c r="K29" s="121"/>
      <c r="L29" s="121"/>
      <c r="M29" s="121"/>
      <c r="N29" s="121"/>
      <c r="O29" s="122"/>
      <c r="P29" s="123"/>
      <c r="Q29" s="124" t="s">
        <v>87</v>
      </c>
      <c r="R29" s="124"/>
      <c r="S29" s="124"/>
      <c r="T29" s="124"/>
    </row>
    <row r="30" spans="8:20" ht="14.4" customHeight="1" x14ac:dyDescent="0.3">
      <c r="H30" s="121"/>
      <c r="I30" s="121"/>
      <c r="J30" s="121"/>
      <c r="K30" s="121"/>
      <c r="L30" s="121"/>
      <c r="M30" s="121"/>
      <c r="N30" s="121"/>
      <c r="O30" s="122"/>
      <c r="P30" s="123"/>
      <c r="Q30" s="203" t="s">
        <v>104</v>
      </c>
      <c r="R30" s="203"/>
      <c r="S30" s="203"/>
      <c r="T30" s="203"/>
    </row>
    <row r="31" spans="8:20" x14ac:dyDescent="0.3">
      <c r="H31" s="121"/>
      <c r="I31" s="121"/>
      <c r="J31" s="121"/>
      <c r="K31" s="121"/>
      <c r="L31" s="121"/>
      <c r="M31" s="121"/>
      <c r="N31" s="121"/>
      <c r="O31" s="122"/>
      <c r="P31" s="123"/>
      <c r="Q31" s="204" t="s">
        <v>88</v>
      </c>
      <c r="R31" s="204"/>
      <c r="S31" s="204"/>
      <c r="T31" s="204"/>
    </row>
  </sheetData>
  <mergeCells count="13">
    <mergeCell ref="Q30:T30"/>
    <mergeCell ref="Q31:T31"/>
    <mergeCell ref="H8:T8"/>
    <mergeCell ref="H10:T10"/>
    <mergeCell ref="Q27:T27"/>
    <mergeCell ref="H26:N26"/>
    <mergeCell ref="H27:N27"/>
    <mergeCell ref="H23:T23"/>
    <mergeCell ref="H22:T22"/>
    <mergeCell ref="Q26:T26"/>
    <mergeCell ref="H24:Q24"/>
    <mergeCell ref="H9:T9"/>
    <mergeCell ref="Q28:T28"/>
  </mergeCells>
  <hyperlinks>
    <hyperlink ref="Q30" r:id="rId1" xr:uid="{71673C88-5463-4161-83CF-CD9CF893B618}"/>
    <hyperlink ref="Q31" r:id="rId2" xr:uid="{82F5B292-7BE3-40E1-A66D-AB909AD3CE02}"/>
    <hyperlink ref="Q30:T30" r:id="rId3" display="www.romcarbon.com" xr:uid="{02F9AC0E-C59E-4B94-A68F-62D5310C64A0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F153-CB02-4A39-8F9E-FA46FFDA5D0D}">
  <dimension ref="A2:Y229"/>
  <sheetViews>
    <sheetView workbookViewId="0">
      <pane xSplit="3" ySplit="3" topLeftCell="K46" activePane="bottomRight" state="frozen"/>
      <selection pane="topRight" activeCell="D1" sqref="D1"/>
      <selection pane="bottomLeft" activeCell="A4" sqref="A4"/>
      <selection pane="bottomRight" activeCell="B63" sqref="B63:B67"/>
    </sheetView>
  </sheetViews>
  <sheetFormatPr defaultColWidth="8.88671875" defaultRowHeight="14.4" x14ac:dyDescent="0.3"/>
  <cols>
    <col min="1" max="1" width="11.109375" style="49" bestFit="1" customWidth="1"/>
    <col min="2" max="2" width="80.6640625" style="49" bestFit="1" customWidth="1"/>
    <col min="3" max="3" width="33.88671875" style="49" customWidth="1"/>
    <col min="4" max="6" width="13.109375" style="49" bestFit="1" customWidth="1"/>
    <col min="7" max="7" width="13.44140625" style="163" bestFit="1" customWidth="1"/>
    <col min="8" max="9" width="13.109375" style="49" bestFit="1" customWidth="1"/>
    <col min="10" max="10" width="6" style="49" bestFit="1" customWidth="1"/>
    <col min="11" max="11" width="4.109375" style="64" customWidth="1"/>
    <col min="12" max="14" width="13.109375" style="49" bestFit="1" customWidth="1"/>
    <col min="15" max="15" width="13.44140625" style="49" bestFit="1" customWidth="1"/>
    <col min="16" max="16" width="13.109375" style="49" bestFit="1" customWidth="1"/>
    <col min="17" max="20" width="8.88671875" style="49"/>
    <col min="21" max="21" width="11.44140625" style="49" customWidth="1"/>
    <col min="22" max="22" width="11.6640625" style="49" bestFit="1" customWidth="1"/>
    <col min="23" max="23" width="14.6640625" style="49" bestFit="1" customWidth="1"/>
    <col min="24" max="24" width="14.6640625" style="49" customWidth="1"/>
    <col min="25" max="25" width="8.88671875" style="49"/>
    <col min="26" max="26" width="6.33203125" style="49" customWidth="1"/>
    <col min="27" max="27" width="11.5546875" style="49" bestFit="1" customWidth="1"/>
    <col min="28" max="16384" width="8.88671875" style="49"/>
  </cols>
  <sheetData>
    <row r="2" spans="1:25" x14ac:dyDescent="0.3">
      <c r="D2" s="63"/>
      <c r="E2" s="63"/>
      <c r="F2" s="63"/>
      <c r="G2" s="159"/>
      <c r="H2" s="63"/>
      <c r="I2" s="63"/>
    </row>
    <row r="3" spans="1:25" x14ac:dyDescent="0.3">
      <c r="A3" s="61" t="s">
        <v>107</v>
      </c>
      <c r="B3" s="61" t="s">
        <v>0</v>
      </c>
      <c r="C3" s="61" t="s">
        <v>0</v>
      </c>
      <c r="D3" s="61">
        <v>2016</v>
      </c>
      <c r="E3" s="61">
        <v>2017</v>
      </c>
      <c r="F3" s="61">
        <v>2018</v>
      </c>
      <c r="G3" s="160">
        <v>2019</v>
      </c>
      <c r="H3" s="61">
        <v>2020</v>
      </c>
      <c r="I3" s="61">
        <v>2021</v>
      </c>
      <c r="J3" s="61" t="s">
        <v>108</v>
      </c>
      <c r="L3" s="61">
        <v>2017</v>
      </c>
      <c r="M3" s="61">
        <v>2018</v>
      </c>
      <c r="N3" s="61">
        <v>2019</v>
      </c>
      <c r="O3" s="61">
        <v>2020</v>
      </c>
      <c r="P3" s="61">
        <v>2021</v>
      </c>
      <c r="U3" s="61" t="s">
        <v>107</v>
      </c>
      <c r="V3" s="61" t="s">
        <v>109</v>
      </c>
      <c r="W3" s="61"/>
      <c r="X3" s="61"/>
      <c r="Y3" s="61" t="s">
        <v>112</v>
      </c>
    </row>
    <row r="4" spans="1:25" x14ac:dyDescent="0.3">
      <c r="A4" s="49" t="s">
        <v>115</v>
      </c>
      <c r="B4" s="49" t="s">
        <v>1</v>
      </c>
      <c r="C4" s="49" t="s">
        <v>2</v>
      </c>
      <c r="D4" s="58"/>
      <c r="E4" s="58"/>
      <c r="F4" s="58"/>
      <c r="G4" s="161"/>
      <c r="H4" s="58"/>
      <c r="I4" s="58"/>
      <c r="J4" s="49">
        <v>1</v>
      </c>
      <c r="L4" s="58">
        <v>192989389</v>
      </c>
      <c r="M4" s="58">
        <v>177506250</v>
      </c>
      <c r="N4" s="58">
        <v>164440278</v>
      </c>
      <c r="O4" s="58">
        <v>150504234.88263863</v>
      </c>
      <c r="P4" s="58">
        <v>138584406.14761695</v>
      </c>
      <c r="U4" s="49" t="s">
        <v>113</v>
      </c>
      <c r="V4" s="49" t="s">
        <v>116</v>
      </c>
      <c r="W4" s="49" t="s">
        <v>119</v>
      </c>
      <c r="X4" s="49" t="s">
        <v>122</v>
      </c>
      <c r="Y4" s="63">
        <v>90</v>
      </c>
    </row>
    <row r="5" spans="1:25" x14ac:dyDescent="0.3">
      <c r="A5" s="49" t="s">
        <v>115</v>
      </c>
      <c r="B5" s="49" t="s">
        <v>3</v>
      </c>
      <c r="C5" s="49" t="s">
        <v>4</v>
      </c>
      <c r="D5" s="58"/>
      <c r="E5" s="58"/>
      <c r="F5" s="58"/>
      <c r="G5" s="161"/>
      <c r="H5" s="58"/>
      <c r="I5" s="58"/>
      <c r="J5" s="49">
        <v>1</v>
      </c>
      <c r="L5" s="58">
        <v>45680013</v>
      </c>
      <c r="M5" s="58">
        <v>46444399</v>
      </c>
      <c r="N5" s="58">
        <v>18033515</v>
      </c>
      <c r="O5" s="58">
        <v>13425346</v>
      </c>
      <c r="P5" s="58">
        <v>11885346</v>
      </c>
      <c r="U5" s="49" t="s">
        <v>115</v>
      </c>
      <c r="V5" s="49" t="s">
        <v>117</v>
      </c>
      <c r="W5" s="49" t="s">
        <v>120</v>
      </c>
      <c r="X5" s="49" t="s">
        <v>123</v>
      </c>
      <c r="Y5" s="63">
        <v>180</v>
      </c>
    </row>
    <row r="6" spans="1:25" x14ac:dyDescent="0.3">
      <c r="A6" s="49" t="s">
        <v>115</v>
      </c>
      <c r="B6" s="49" t="s">
        <v>193</v>
      </c>
      <c r="C6" s="49" t="s">
        <v>194</v>
      </c>
      <c r="D6" s="58"/>
      <c r="E6" s="58"/>
      <c r="F6" s="58"/>
      <c r="G6" s="161"/>
      <c r="H6" s="58"/>
      <c r="I6" s="58"/>
      <c r="J6" s="49">
        <v>1</v>
      </c>
      <c r="L6" s="58">
        <v>143461</v>
      </c>
      <c r="M6" s="58">
        <v>143461</v>
      </c>
      <c r="N6" s="58">
        <v>143461</v>
      </c>
      <c r="O6" s="58">
        <v>143460.56021036324</v>
      </c>
      <c r="P6" s="58">
        <v>143460.56021036324</v>
      </c>
      <c r="U6" s="49" t="s">
        <v>114</v>
      </c>
      <c r="V6" s="49" t="s">
        <v>118</v>
      </c>
      <c r="W6" s="49" t="s">
        <v>121</v>
      </c>
      <c r="X6" s="49" t="s">
        <v>124</v>
      </c>
      <c r="Y6" s="63">
        <v>270</v>
      </c>
    </row>
    <row r="7" spans="1:25" x14ac:dyDescent="0.3">
      <c r="A7" s="49" t="s">
        <v>115</v>
      </c>
      <c r="B7" s="49" t="s">
        <v>235</v>
      </c>
      <c r="C7" s="49" t="s">
        <v>158</v>
      </c>
      <c r="D7" s="58"/>
      <c r="E7" s="58"/>
      <c r="F7" s="58"/>
      <c r="G7" s="161"/>
      <c r="H7" s="58"/>
      <c r="I7" s="58"/>
      <c r="J7" s="49">
        <v>1</v>
      </c>
      <c r="L7" s="58">
        <v>279586</v>
      </c>
      <c r="M7" s="58">
        <v>199838</v>
      </c>
      <c r="N7" s="58">
        <v>354733</v>
      </c>
      <c r="O7" s="58">
        <v>465276.41545454529</v>
      </c>
      <c r="P7" s="58">
        <v>300679.45636363584</v>
      </c>
    </row>
    <row r="8" spans="1:25" x14ac:dyDescent="0.3">
      <c r="A8" s="49" t="s">
        <v>115</v>
      </c>
      <c r="B8" s="49" t="s">
        <v>236</v>
      </c>
      <c r="C8" s="49" t="s">
        <v>195</v>
      </c>
      <c r="D8" s="58"/>
      <c r="E8" s="58"/>
      <c r="F8" s="58"/>
      <c r="G8" s="161"/>
      <c r="H8" s="58"/>
      <c r="I8" s="58"/>
      <c r="J8" s="49">
        <v>1</v>
      </c>
      <c r="L8" s="58">
        <v>28811684</v>
      </c>
      <c r="M8" s="58">
        <v>28714125</v>
      </c>
      <c r="N8" s="58">
        <v>27610382</v>
      </c>
      <c r="O8" s="58">
        <v>24450182.005381335</v>
      </c>
      <c r="P8" s="58">
        <v>26835941.658193842</v>
      </c>
    </row>
    <row r="9" spans="1:25" x14ac:dyDescent="0.3">
      <c r="A9" s="49" t="s">
        <v>115</v>
      </c>
      <c r="B9" s="49" t="s">
        <v>237</v>
      </c>
      <c r="C9" s="49" t="s">
        <v>159</v>
      </c>
      <c r="D9" s="58"/>
      <c r="E9" s="58"/>
      <c r="F9" s="58"/>
      <c r="G9" s="161"/>
      <c r="H9" s="58"/>
      <c r="I9" s="58"/>
      <c r="J9" s="49">
        <v>1</v>
      </c>
      <c r="L9" s="58">
        <v>197374</v>
      </c>
      <c r="M9" s="58">
        <v>197374</v>
      </c>
      <c r="N9" s="58">
        <v>197373</v>
      </c>
      <c r="O9" s="58">
        <v>196973.90000000037</v>
      </c>
      <c r="P9" s="58">
        <v>196964.40000000037</v>
      </c>
    </row>
    <row r="10" spans="1:25" x14ac:dyDescent="0.3">
      <c r="A10" s="49" t="s">
        <v>115</v>
      </c>
      <c r="B10" s="49" t="s">
        <v>238</v>
      </c>
      <c r="C10" s="49" t="s">
        <v>196</v>
      </c>
      <c r="D10" s="58"/>
      <c r="E10" s="58"/>
      <c r="F10" s="58"/>
      <c r="G10" s="161"/>
      <c r="H10" s="58"/>
      <c r="I10" s="58"/>
      <c r="J10" s="49">
        <v>1</v>
      </c>
      <c r="L10" s="58">
        <v>6254</v>
      </c>
      <c r="M10" s="58">
        <v>6361</v>
      </c>
      <c r="N10" s="58">
        <v>258518</v>
      </c>
      <c r="O10" s="58">
        <v>167339.75</v>
      </c>
      <c r="P10" s="58">
        <v>100000</v>
      </c>
    </row>
    <row r="11" spans="1:25" x14ac:dyDescent="0.3">
      <c r="A11" s="49" t="s">
        <v>115</v>
      </c>
      <c r="B11" s="49" t="s">
        <v>132</v>
      </c>
      <c r="C11" s="49" t="s">
        <v>6</v>
      </c>
      <c r="D11" s="58"/>
      <c r="E11" s="58"/>
      <c r="F11" s="58"/>
      <c r="G11" s="161"/>
      <c r="H11" s="58"/>
      <c r="I11" s="58"/>
      <c r="J11" s="49">
        <v>1</v>
      </c>
      <c r="L11" s="58">
        <v>268107761</v>
      </c>
      <c r="M11" s="58">
        <v>253211808</v>
      </c>
      <c r="N11" s="58">
        <v>211038260</v>
      </c>
      <c r="O11" s="58">
        <v>189352813.5136849</v>
      </c>
      <c r="P11" s="58">
        <v>178046798.22238484</v>
      </c>
    </row>
    <row r="12" spans="1:25" x14ac:dyDescent="0.3">
      <c r="A12" s="49" t="s">
        <v>115</v>
      </c>
      <c r="B12" s="49" t="s">
        <v>239</v>
      </c>
      <c r="C12" s="49" t="s">
        <v>160</v>
      </c>
      <c r="D12" s="58"/>
      <c r="E12" s="58"/>
      <c r="F12" s="58"/>
      <c r="G12" s="161"/>
      <c r="H12" s="58"/>
      <c r="I12" s="58"/>
      <c r="J12" s="49">
        <v>1</v>
      </c>
      <c r="L12" s="58">
        <f>36009295-1</f>
        <v>36009294</v>
      </c>
      <c r="M12" s="58">
        <v>34009209</v>
      </c>
      <c r="N12" s="58">
        <v>40138912</v>
      </c>
      <c r="O12" s="58">
        <v>40101052.917837135</v>
      </c>
      <c r="P12" s="58">
        <v>44513865.07965675</v>
      </c>
    </row>
    <row r="13" spans="1:25" x14ac:dyDescent="0.3">
      <c r="A13" s="49" t="s">
        <v>115</v>
      </c>
      <c r="B13" s="49" t="s">
        <v>7</v>
      </c>
      <c r="C13" s="49" t="s">
        <v>161</v>
      </c>
      <c r="D13" s="58"/>
      <c r="E13" s="58"/>
      <c r="F13" s="58"/>
      <c r="G13" s="161"/>
      <c r="H13" s="58"/>
      <c r="I13" s="58"/>
      <c r="J13" s="49">
        <v>1</v>
      </c>
      <c r="L13" s="58">
        <v>34231764</v>
      </c>
      <c r="M13" s="58">
        <v>39881251</v>
      </c>
      <c r="N13" s="58">
        <v>37168375</v>
      </c>
      <c r="O13" s="58">
        <v>40892115.768005952</v>
      </c>
      <c r="P13" s="58">
        <v>52669438.835505955</v>
      </c>
    </row>
    <row r="14" spans="1:25" x14ac:dyDescent="0.3">
      <c r="A14" s="49" t="s">
        <v>115</v>
      </c>
      <c r="B14" s="49" t="s">
        <v>240</v>
      </c>
      <c r="C14" s="49" t="s">
        <v>162</v>
      </c>
      <c r="D14" s="58"/>
      <c r="E14" s="58"/>
      <c r="F14" s="58"/>
      <c r="G14" s="161"/>
      <c r="H14" s="58"/>
      <c r="I14" s="58"/>
      <c r="J14" s="49">
        <v>1</v>
      </c>
      <c r="L14" s="58">
        <v>0</v>
      </c>
      <c r="M14" s="58">
        <v>0</v>
      </c>
      <c r="N14" s="58">
        <v>0</v>
      </c>
      <c r="O14" s="58">
        <v>43.550000000046566</v>
      </c>
      <c r="P14" s="58">
        <v>181047.45</v>
      </c>
    </row>
    <row r="15" spans="1:25" x14ac:dyDescent="0.3">
      <c r="A15" s="49" t="s">
        <v>115</v>
      </c>
      <c r="B15" s="49" t="s">
        <v>241</v>
      </c>
      <c r="C15" s="49" t="s">
        <v>163</v>
      </c>
      <c r="D15" s="58"/>
      <c r="E15" s="58"/>
      <c r="F15" s="58"/>
      <c r="G15" s="161"/>
      <c r="H15" s="58"/>
      <c r="I15" s="58"/>
      <c r="J15" s="49">
        <v>1</v>
      </c>
      <c r="L15" s="58">
        <v>296538</v>
      </c>
      <c r="M15" s="58">
        <v>1883483</v>
      </c>
      <c r="N15" s="58">
        <v>1622153</v>
      </c>
      <c r="O15" s="58">
        <v>1250852.3915500001</v>
      </c>
      <c r="P15" s="58">
        <v>2404556.0465500001</v>
      </c>
    </row>
    <row r="16" spans="1:25" x14ac:dyDescent="0.3">
      <c r="A16" s="49" t="s">
        <v>115</v>
      </c>
      <c r="B16" s="49" t="s">
        <v>242</v>
      </c>
      <c r="C16" s="49" t="s">
        <v>164</v>
      </c>
      <c r="D16" s="58"/>
      <c r="E16" s="58"/>
      <c r="F16" s="58"/>
      <c r="G16" s="161"/>
      <c r="H16" s="58"/>
      <c r="I16" s="58"/>
      <c r="J16" s="49">
        <v>1</v>
      </c>
      <c r="L16" s="58">
        <v>10567884</v>
      </c>
      <c r="M16" s="58">
        <v>14056158</v>
      </c>
      <c r="N16" s="58">
        <v>5670981</v>
      </c>
      <c r="O16" s="58">
        <v>11943351.82739</v>
      </c>
      <c r="P16" s="58">
        <v>8541185.6730070002</v>
      </c>
    </row>
    <row r="17" spans="1:16" x14ac:dyDescent="0.3">
      <c r="A17" s="49" t="s">
        <v>115</v>
      </c>
      <c r="B17" s="49" t="s">
        <v>165</v>
      </c>
      <c r="C17" s="49" t="s">
        <v>166</v>
      </c>
      <c r="D17" s="58"/>
      <c r="E17" s="58"/>
      <c r="F17" s="58"/>
      <c r="G17" s="161"/>
      <c r="H17" s="58"/>
      <c r="I17" s="58"/>
      <c r="J17" s="49">
        <v>1</v>
      </c>
      <c r="L17" s="58">
        <v>0</v>
      </c>
      <c r="M17" s="58">
        <v>0</v>
      </c>
      <c r="N17" s="58">
        <v>15607875</v>
      </c>
      <c r="O17" s="58">
        <v>2576681.58</v>
      </c>
      <c r="P17" s="58">
        <v>70845</v>
      </c>
    </row>
    <row r="18" spans="1:16" x14ac:dyDescent="0.3">
      <c r="A18" s="49" t="s">
        <v>115</v>
      </c>
      <c r="B18" s="49" t="s">
        <v>133</v>
      </c>
      <c r="C18" s="49" t="s">
        <v>9</v>
      </c>
      <c r="D18" s="58"/>
      <c r="E18" s="58"/>
      <c r="F18" s="58"/>
      <c r="G18" s="161"/>
      <c r="H18" s="58"/>
      <c r="I18" s="58"/>
      <c r="J18" s="49">
        <v>1</v>
      </c>
      <c r="L18" s="58">
        <v>81105481</v>
      </c>
      <c r="M18" s="58">
        <v>89830101</v>
      </c>
      <c r="N18" s="58">
        <v>100208296</v>
      </c>
      <c r="O18" s="58">
        <v>96764098.03478308</v>
      </c>
      <c r="P18" s="58">
        <v>108380938.08471972</v>
      </c>
    </row>
    <row r="19" spans="1:16" x14ac:dyDescent="0.3">
      <c r="A19" s="49" t="s">
        <v>115</v>
      </c>
      <c r="B19" s="49" t="s">
        <v>143</v>
      </c>
      <c r="C19" s="49" t="s">
        <v>11</v>
      </c>
      <c r="D19" s="58"/>
      <c r="E19" s="58"/>
      <c r="F19" s="58"/>
      <c r="G19" s="161"/>
      <c r="H19" s="58"/>
      <c r="I19" s="58"/>
      <c r="J19" s="49">
        <v>1</v>
      </c>
      <c r="L19" s="58">
        <v>349213242</v>
      </c>
      <c r="M19" s="58">
        <v>343041909</v>
      </c>
      <c r="N19" s="58">
        <v>311246556</v>
      </c>
      <c r="O19" s="58">
        <v>286116911.54846799</v>
      </c>
      <c r="P19" s="58">
        <v>286427736.30710459</v>
      </c>
    </row>
    <row r="20" spans="1:16" x14ac:dyDescent="0.3">
      <c r="A20" s="49" t="s">
        <v>115</v>
      </c>
      <c r="B20" s="49" t="s">
        <v>12</v>
      </c>
      <c r="C20" s="49" t="s">
        <v>13</v>
      </c>
      <c r="D20" s="58"/>
      <c r="E20" s="58"/>
      <c r="F20" s="58"/>
      <c r="G20" s="161"/>
      <c r="H20" s="58"/>
      <c r="I20" s="58"/>
      <c r="J20" s="49">
        <v>1</v>
      </c>
      <c r="L20" s="58">
        <v>26412211</v>
      </c>
      <c r="M20" s="58">
        <v>26412211</v>
      </c>
      <c r="N20" s="58">
        <v>26412110</v>
      </c>
      <c r="O20" s="58">
        <v>26412210.343440004</v>
      </c>
      <c r="P20" s="58">
        <v>26412210.343440004</v>
      </c>
    </row>
    <row r="21" spans="1:16" x14ac:dyDescent="0.3">
      <c r="A21" s="49" t="s">
        <v>115</v>
      </c>
      <c r="B21" s="49" t="s">
        <v>197</v>
      </c>
      <c r="C21" s="49" t="s">
        <v>14</v>
      </c>
      <c r="D21" s="58"/>
      <c r="E21" s="58"/>
      <c r="F21" s="58"/>
      <c r="G21" s="161"/>
      <c r="H21" s="58"/>
      <c r="I21" s="58"/>
      <c r="J21" s="49">
        <v>1</v>
      </c>
      <c r="L21" s="58">
        <v>2182283</v>
      </c>
      <c r="M21" s="58">
        <v>2182283</v>
      </c>
      <c r="N21" s="58">
        <v>2182283</v>
      </c>
      <c r="O21" s="58">
        <v>2182283</v>
      </c>
      <c r="P21" s="58">
        <v>2182283</v>
      </c>
    </row>
    <row r="22" spans="1:16" x14ac:dyDescent="0.3">
      <c r="A22" s="49" t="s">
        <v>115</v>
      </c>
      <c r="B22" s="49" t="s">
        <v>15</v>
      </c>
      <c r="C22" s="49" t="s">
        <v>167</v>
      </c>
      <c r="D22" s="58"/>
      <c r="E22" s="58"/>
      <c r="F22" s="58"/>
      <c r="G22" s="161"/>
      <c r="H22" s="58"/>
      <c r="I22" s="58"/>
      <c r="J22" s="49">
        <v>1</v>
      </c>
      <c r="L22" s="58">
        <v>55531564</v>
      </c>
      <c r="M22" s="58">
        <v>54472464</v>
      </c>
      <c r="N22" s="58">
        <v>59434062</v>
      </c>
      <c r="O22" s="58">
        <v>59790294.013682067</v>
      </c>
      <c r="P22" s="58">
        <v>60919829.809163399</v>
      </c>
    </row>
    <row r="23" spans="1:16" x14ac:dyDescent="0.3">
      <c r="A23" s="49" t="s">
        <v>115</v>
      </c>
      <c r="B23" s="49" t="s">
        <v>16</v>
      </c>
      <c r="C23" s="49" t="s">
        <v>17</v>
      </c>
      <c r="D23" s="58"/>
      <c r="E23" s="58"/>
      <c r="F23" s="58"/>
      <c r="G23" s="161"/>
      <c r="H23" s="58"/>
      <c r="I23" s="58"/>
      <c r="J23" s="49">
        <v>1</v>
      </c>
      <c r="L23" s="58">
        <v>63416916</v>
      </c>
      <c r="M23" s="58">
        <v>64637293</v>
      </c>
      <c r="N23" s="58">
        <v>51863731</v>
      </c>
      <c r="O23" s="58">
        <v>48287043.513360359</v>
      </c>
      <c r="P23" s="58">
        <v>51180502.701539703</v>
      </c>
    </row>
    <row r="24" spans="1:16" x14ac:dyDescent="0.3">
      <c r="A24" s="49" t="s">
        <v>115</v>
      </c>
      <c r="B24" s="49" t="s">
        <v>198</v>
      </c>
      <c r="C24" s="49" t="s">
        <v>199</v>
      </c>
      <c r="D24" s="58"/>
      <c r="E24" s="58"/>
      <c r="F24" s="58"/>
      <c r="G24" s="161"/>
      <c r="H24" s="58"/>
      <c r="I24" s="58"/>
      <c r="J24" s="49">
        <v>1</v>
      </c>
      <c r="L24" s="58">
        <v>147542974</v>
      </c>
      <c r="M24" s="58">
        <v>147704251</v>
      </c>
      <c r="N24" s="58">
        <v>139892186</v>
      </c>
      <c r="O24" s="58">
        <v>136671830.87048241</v>
      </c>
      <c r="P24" s="58">
        <v>140694825.85414311</v>
      </c>
    </row>
    <row r="25" spans="1:16" ht="15" customHeight="1" x14ac:dyDescent="0.3">
      <c r="A25" s="49" t="s">
        <v>115</v>
      </c>
      <c r="B25" s="49" t="s">
        <v>200</v>
      </c>
      <c r="C25" s="49" t="s">
        <v>201</v>
      </c>
      <c r="D25" s="58"/>
      <c r="E25" s="58"/>
      <c r="F25" s="58"/>
      <c r="G25" s="161"/>
      <c r="H25" s="58"/>
      <c r="I25" s="58"/>
      <c r="J25" s="49">
        <v>1</v>
      </c>
      <c r="L25" s="58">
        <v>1047246</v>
      </c>
      <c r="M25" s="58">
        <v>979401</v>
      </c>
      <c r="N25" s="58">
        <v>918613</v>
      </c>
      <c r="O25" s="58">
        <v>909560.97108332929</v>
      </c>
      <c r="P25" s="58">
        <v>917037.70957776741</v>
      </c>
    </row>
    <row r="26" spans="1:16" x14ac:dyDescent="0.3">
      <c r="A26" s="49" t="s">
        <v>115</v>
      </c>
      <c r="B26" s="49" t="s">
        <v>134</v>
      </c>
      <c r="C26" s="49" t="s">
        <v>202</v>
      </c>
      <c r="D26" s="58"/>
      <c r="E26" s="58"/>
      <c r="F26" s="58"/>
      <c r="G26" s="161"/>
      <c r="H26" s="58"/>
      <c r="I26" s="58"/>
      <c r="J26" s="49">
        <v>1</v>
      </c>
      <c r="L26" s="58">
        <v>148590220</v>
      </c>
      <c r="M26" s="58">
        <v>148683652</v>
      </c>
      <c r="N26" s="58">
        <v>140810799</v>
      </c>
      <c r="O26" s="58">
        <v>137581391.84156576</v>
      </c>
      <c r="P26" s="58">
        <v>141611863.56372088</v>
      </c>
    </row>
    <row r="27" spans="1:16" x14ac:dyDescent="0.3">
      <c r="A27" s="49" t="s">
        <v>115</v>
      </c>
      <c r="B27" s="49" t="s">
        <v>244</v>
      </c>
      <c r="C27" s="49" t="s">
        <v>203</v>
      </c>
      <c r="D27" s="58"/>
      <c r="E27" s="58"/>
      <c r="F27" s="58"/>
      <c r="G27" s="161"/>
      <c r="H27" s="58"/>
      <c r="I27" s="58"/>
      <c r="J27" s="49">
        <v>1</v>
      </c>
      <c r="L27" s="58">
        <v>265127</v>
      </c>
      <c r="M27" s="58">
        <v>263965</v>
      </c>
      <c r="N27" s="58">
        <v>283594</v>
      </c>
      <c r="O27" s="58">
        <v>248808.238247</v>
      </c>
      <c r="P27" s="58">
        <v>446038</v>
      </c>
    </row>
    <row r="28" spans="1:16" x14ac:dyDescent="0.3">
      <c r="A28" s="49" t="s">
        <v>115</v>
      </c>
      <c r="B28" s="49" t="s">
        <v>204</v>
      </c>
      <c r="C28" s="49" t="s">
        <v>20</v>
      </c>
      <c r="D28" s="58"/>
      <c r="E28" s="58"/>
      <c r="F28" s="58"/>
      <c r="G28" s="161"/>
      <c r="H28" s="58"/>
      <c r="I28" s="58"/>
      <c r="J28" s="49">
        <v>1</v>
      </c>
      <c r="L28" s="58">
        <v>10468240</v>
      </c>
      <c r="M28" s="58">
        <v>10758395</v>
      </c>
      <c r="N28" s="58">
        <v>8897478</v>
      </c>
      <c r="O28" s="58">
        <v>8364029</v>
      </c>
      <c r="P28" s="58">
        <v>7857468</v>
      </c>
    </row>
    <row r="29" spans="1:16" x14ac:dyDescent="0.3">
      <c r="A29" s="49" t="s">
        <v>115</v>
      </c>
      <c r="B29" s="49" t="s">
        <v>168</v>
      </c>
      <c r="C29" s="49" t="s">
        <v>169</v>
      </c>
      <c r="D29" s="58"/>
      <c r="E29" s="58"/>
      <c r="F29" s="58"/>
      <c r="G29" s="161"/>
      <c r="H29" s="58"/>
      <c r="I29" s="58"/>
      <c r="J29" s="49">
        <v>1</v>
      </c>
      <c r="L29" s="58">
        <v>54170834</v>
      </c>
      <c r="M29" s="58">
        <v>46066321</v>
      </c>
      <c r="N29" s="58">
        <v>31878206</v>
      </c>
      <c r="O29" s="58">
        <v>18355812.917566981</v>
      </c>
      <c r="P29" s="58">
        <v>12673742.65</v>
      </c>
    </row>
    <row r="30" spans="1:16" x14ac:dyDescent="0.3">
      <c r="A30" s="49" t="s">
        <v>115</v>
      </c>
      <c r="B30" s="49" t="s">
        <v>245</v>
      </c>
      <c r="C30" s="49" t="s">
        <v>170</v>
      </c>
      <c r="D30" s="58"/>
      <c r="E30" s="58"/>
      <c r="F30" s="58"/>
      <c r="G30" s="161"/>
      <c r="H30" s="58"/>
      <c r="I30" s="58"/>
      <c r="J30" s="49">
        <v>1</v>
      </c>
      <c r="L30" s="58">
        <v>33223928</v>
      </c>
      <c r="M30" s="58">
        <v>29275489</v>
      </c>
      <c r="N30" s="58">
        <v>25291889</v>
      </c>
      <c r="O30" s="58">
        <v>21632216.100000001</v>
      </c>
      <c r="P30" s="58">
        <v>17888421.300000001</v>
      </c>
    </row>
    <row r="31" spans="1:16" x14ac:dyDescent="0.3">
      <c r="A31" s="49" t="s">
        <v>115</v>
      </c>
      <c r="B31" s="49" t="s">
        <v>144</v>
      </c>
      <c r="C31" s="49" t="s">
        <v>22</v>
      </c>
      <c r="D31" s="58"/>
      <c r="E31" s="58"/>
      <c r="F31" s="58"/>
      <c r="G31" s="161"/>
      <c r="H31" s="58"/>
      <c r="I31" s="58"/>
      <c r="J31" s="49">
        <v>1</v>
      </c>
      <c r="L31" s="58">
        <v>98128129</v>
      </c>
      <c r="M31" s="58">
        <v>86364170</v>
      </c>
      <c r="N31" s="58">
        <v>66351167</v>
      </c>
      <c r="O31" s="58">
        <v>48600866.255813986</v>
      </c>
      <c r="P31" s="58">
        <v>38865669.950000003</v>
      </c>
    </row>
    <row r="32" spans="1:16" x14ac:dyDescent="0.3">
      <c r="A32" s="49" t="s">
        <v>115</v>
      </c>
      <c r="B32" s="49" t="s">
        <v>171</v>
      </c>
      <c r="C32" s="49" t="s">
        <v>205</v>
      </c>
      <c r="D32" s="58"/>
      <c r="E32" s="58"/>
      <c r="F32" s="58"/>
      <c r="G32" s="161"/>
      <c r="H32" s="58"/>
      <c r="I32" s="58"/>
      <c r="J32" s="49">
        <v>1</v>
      </c>
      <c r="L32" s="58">
        <v>42001479</v>
      </c>
      <c r="M32" s="58">
        <v>40960024</v>
      </c>
      <c r="N32" s="58">
        <v>41567656</v>
      </c>
      <c r="O32" s="58">
        <v>32835366.840300843</v>
      </c>
      <c r="P32" s="58">
        <v>42098362.805974856</v>
      </c>
    </row>
    <row r="33" spans="1:16" x14ac:dyDescent="0.3">
      <c r="A33" s="49" t="s">
        <v>115</v>
      </c>
      <c r="B33" s="49" t="s">
        <v>172</v>
      </c>
      <c r="C33" s="49" t="s">
        <v>173</v>
      </c>
      <c r="D33" s="58"/>
      <c r="E33" s="58"/>
      <c r="F33" s="58"/>
      <c r="G33" s="161"/>
      <c r="H33" s="58"/>
      <c r="I33" s="58"/>
      <c r="J33" s="49">
        <v>1</v>
      </c>
      <c r="L33" s="58">
        <v>52493556</v>
      </c>
      <c r="M33" s="58">
        <v>58939181</v>
      </c>
      <c r="N33" s="58">
        <v>53918723</v>
      </c>
      <c r="O33" s="58">
        <v>58800040.273814924</v>
      </c>
      <c r="P33" s="58">
        <v>54515120.590000004</v>
      </c>
    </row>
    <row r="34" spans="1:16" x14ac:dyDescent="0.3">
      <c r="A34" s="49" t="s">
        <v>115</v>
      </c>
      <c r="B34" s="49" t="s">
        <v>174</v>
      </c>
      <c r="C34" s="49" t="s">
        <v>175</v>
      </c>
      <c r="D34" s="58"/>
      <c r="E34" s="58"/>
      <c r="F34" s="58"/>
      <c r="G34" s="161"/>
      <c r="H34" s="58"/>
      <c r="I34" s="58"/>
      <c r="J34" s="49">
        <v>1</v>
      </c>
      <c r="L34" s="58">
        <v>7999858</v>
      </c>
      <c r="M34" s="58">
        <v>8094882</v>
      </c>
      <c r="N34" s="58">
        <v>8598211</v>
      </c>
      <c r="O34" s="58">
        <v>8299246.3358750008</v>
      </c>
      <c r="P34" s="58">
        <v>9336719.5558749996</v>
      </c>
    </row>
    <row r="35" spans="1:16" x14ac:dyDescent="0.3">
      <c r="A35" s="49" t="s">
        <v>115</v>
      </c>
      <c r="B35" s="49" t="s">
        <v>145</v>
      </c>
      <c r="C35" s="49" t="s">
        <v>24</v>
      </c>
      <c r="D35" s="58"/>
      <c r="E35" s="58"/>
      <c r="F35" s="58"/>
      <c r="G35" s="161"/>
      <c r="H35" s="58"/>
      <c r="I35" s="58"/>
      <c r="J35" s="49">
        <v>1</v>
      </c>
      <c r="L35" s="58">
        <v>102494893</v>
      </c>
      <c r="M35" s="58">
        <v>107994087</v>
      </c>
      <c r="N35" s="58">
        <v>104084590</v>
      </c>
      <c r="O35" s="58">
        <v>99934653.449990779</v>
      </c>
      <c r="P35" s="58">
        <v>105950202.95184986</v>
      </c>
    </row>
    <row r="36" spans="1:16" x14ac:dyDescent="0.3">
      <c r="A36" s="49" t="s">
        <v>115</v>
      </c>
      <c r="B36" s="49" t="s">
        <v>141</v>
      </c>
      <c r="C36" s="49" t="s">
        <v>26</v>
      </c>
      <c r="D36" s="58"/>
      <c r="E36" s="58"/>
      <c r="F36" s="58"/>
      <c r="G36" s="161"/>
      <c r="H36" s="58"/>
      <c r="I36" s="58"/>
      <c r="J36" s="49">
        <v>1</v>
      </c>
      <c r="L36" s="58">
        <v>200623022</v>
      </c>
      <c r="M36" s="58">
        <v>194358257</v>
      </c>
      <c r="N36" s="58">
        <v>170435757</v>
      </c>
      <c r="O36" s="58">
        <v>148535519.70580477</v>
      </c>
      <c r="P36" s="58">
        <v>144815872.90184987</v>
      </c>
    </row>
    <row r="37" spans="1:16" x14ac:dyDescent="0.3">
      <c r="A37" s="49" t="s">
        <v>115</v>
      </c>
      <c r="B37" s="49" t="s">
        <v>206</v>
      </c>
      <c r="C37" s="49" t="s">
        <v>207</v>
      </c>
      <c r="D37" s="58"/>
      <c r="E37" s="58"/>
      <c r="F37" s="58"/>
      <c r="G37" s="161"/>
      <c r="H37" s="58"/>
      <c r="I37" s="58"/>
      <c r="J37" s="49">
        <v>1</v>
      </c>
      <c r="L37" s="58">
        <v>349213242</v>
      </c>
      <c r="M37" s="58">
        <v>343041909</v>
      </c>
      <c r="N37" s="58">
        <v>311246556</v>
      </c>
      <c r="O37" s="58">
        <v>286116911.54737055</v>
      </c>
      <c r="P37" s="58">
        <v>286427736.46557075</v>
      </c>
    </row>
    <row r="38" spans="1:16" x14ac:dyDescent="0.3">
      <c r="A38" s="49" t="s">
        <v>115</v>
      </c>
      <c r="B38" s="49" t="s">
        <v>176</v>
      </c>
      <c r="C38" s="49" t="s">
        <v>28</v>
      </c>
      <c r="D38" s="58"/>
      <c r="E38" s="58"/>
      <c r="F38" s="58"/>
      <c r="G38" s="161"/>
      <c r="H38" s="58"/>
      <c r="I38" s="58"/>
      <c r="J38" s="49">
        <v>1</v>
      </c>
      <c r="L38" s="58">
        <v>124258442</v>
      </c>
      <c r="M38" s="58">
        <v>128475060</v>
      </c>
      <c r="N38" s="58">
        <v>121793575</v>
      </c>
      <c r="O38" s="58">
        <v>126910420.85327999</v>
      </c>
      <c r="P38" s="58">
        <v>154935051.10545346</v>
      </c>
    </row>
    <row r="39" spans="1:16" x14ac:dyDescent="0.3">
      <c r="A39" s="49" t="s">
        <v>115</v>
      </c>
      <c r="B39" s="49" t="s">
        <v>37</v>
      </c>
      <c r="C39" s="49" t="s">
        <v>177</v>
      </c>
      <c r="D39" s="58"/>
      <c r="E39" s="58"/>
      <c r="F39" s="58"/>
      <c r="G39" s="161"/>
      <c r="H39" s="58"/>
      <c r="I39" s="58"/>
      <c r="J39" s="49">
        <v>1</v>
      </c>
      <c r="L39" s="58">
        <v>2959053</v>
      </c>
      <c r="M39" s="58">
        <v>2833247</v>
      </c>
      <c r="N39" s="58">
        <v>2995465</v>
      </c>
      <c r="O39" s="58">
        <v>2586718.04</v>
      </c>
      <c r="P39" s="58">
        <v>2910372.57</v>
      </c>
    </row>
    <row r="40" spans="1:16" x14ac:dyDescent="0.3">
      <c r="A40" s="49" t="s">
        <v>115</v>
      </c>
      <c r="B40" s="49" t="s">
        <v>178</v>
      </c>
      <c r="C40" s="49" t="s">
        <v>179</v>
      </c>
      <c r="D40" s="58"/>
      <c r="E40" s="58"/>
      <c r="F40" s="58"/>
      <c r="G40" s="161"/>
      <c r="H40" s="58"/>
      <c r="I40" s="58"/>
      <c r="J40" s="49">
        <v>1</v>
      </c>
      <c r="L40" s="58">
        <v>3317750</v>
      </c>
      <c r="M40" s="58">
        <v>955019</v>
      </c>
      <c r="N40" s="58">
        <v>2554290</v>
      </c>
      <c r="O40" s="58">
        <v>-1253895.1100000001</v>
      </c>
      <c r="P40" s="58">
        <v>5243674.8900000006</v>
      </c>
    </row>
    <row r="41" spans="1:16" x14ac:dyDescent="0.3">
      <c r="A41" s="49" t="s">
        <v>115</v>
      </c>
      <c r="B41" s="49" t="s">
        <v>180</v>
      </c>
      <c r="C41" s="49" t="s">
        <v>29</v>
      </c>
      <c r="D41" s="58"/>
      <c r="E41" s="58"/>
      <c r="F41" s="58"/>
      <c r="G41" s="161"/>
      <c r="H41" s="58"/>
      <c r="I41" s="58"/>
      <c r="J41" s="49">
        <v>1</v>
      </c>
      <c r="L41" s="58">
        <v>-84588608</v>
      </c>
      <c r="M41" s="58">
        <v>-83203548</v>
      </c>
      <c r="N41" s="58">
        <v>-77897798</v>
      </c>
      <c r="O41" s="58">
        <v>-74120062.000637665</v>
      </c>
      <c r="P41" s="58">
        <v>-104614407.24700882</v>
      </c>
    </row>
    <row r="42" spans="1:16" x14ac:dyDescent="0.3">
      <c r="A42" s="49" t="s">
        <v>115</v>
      </c>
      <c r="B42" s="49" t="s">
        <v>181</v>
      </c>
      <c r="C42" s="49" t="s">
        <v>208</v>
      </c>
      <c r="D42" s="58"/>
      <c r="E42" s="58"/>
      <c r="F42" s="58"/>
      <c r="G42" s="161"/>
      <c r="H42" s="58"/>
      <c r="I42" s="58"/>
      <c r="J42" s="49">
        <v>1</v>
      </c>
      <c r="L42" s="58">
        <v>-29833421</v>
      </c>
      <c r="M42" s="58">
        <v>-32427851</v>
      </c>
      <c r="N42" s="58">
        <v>-33783127</v>
      </c>
      <c r="O42" s="58">
        <v>-34533094.609999999</v>
      </c>
      <c r="P42" s="58">
        <v>-37294802.920000002</v>
      </c>
    </row>
    <row r="43" spans="1:16" x14ac:dyDescent="0.3">
      <c r="A43" s="49" t="s">
        <v>115</v>
      </c>
      <c r="B43" s="49" t="s">
        <v>182</v>
      </c>
      <c r="C43" s="49" t="s">
        <v>30</v>
      </c>
      <c r="D43" s="58"/>
      <c r="E43" s="58"/>
      <c r="F43" s="58"/>
      <c r="G43" s="161"/>
      <c r="H43" s="58"/>
      <c r="I43" s="58"/>
      <c r="J43" s="49">
        <v>1</v>
      </c>
      <c r="L43" s="58">
        <v>-8044716</v>
      </c>
      <c r="M43" s="58">
        <v>-8254973</v>
      </c>
      <c r="N43" s="58">
        <v>-8153995</v>
      </c>
      <c r="O43" s="58">
        <v>-7724818.1399999997</v>
      </c>
      <c r="P43" s="58">
        <v>-7452482.4600000009</v>
      </c>
    </row>
    <row r="44" spans="1:16" x14ac:dyDescent="0.3">
      <c r="A44" s="49" t="s">
        <v>115</v>
      </c>
      <c r="B44" s="49" t="s">
        <v>183</v>
      </c>
      <c r="C44" s="49" t="s">
        <v>31</v>
      </c>
      <c r="D44" s="58"/>
      <c r="E44" s="58"/>
      <c r="F44" s="58"/>
      <c r="G44" s="161"/>
      <c r="H44" s="58"/>
      <c r="I44" s="58"/>
      <c r="J44" s="49">
        <v>1</v>
      </c>
      <c r="L44" s="58">
        <v>-8418648</v>
      </c>
      <c r="M44" s="58">
        <v>-9321268</v>
      </c>
      <c r="N44" s="58">
        <v>-9132433</v>
      </c>
      <c r="O44" s="58">
        <v>-9376727.1637295075</v>
      </c>
      <c r="P44" s="58">
        <v>-9702906.1999999993</v>
      </c>
    </row>
    <row r="45" spans="1:16" x14ac:dyDescent="0.3">
      <c r="A45" s="49" t="s">
        <v>115</v>
      </c>
      <c r="B45" s="49" t="s">
        <v>184</v>
      </c>
      <c r="C45" s="49" t="s">
        <v>209</v>
      </c>
      <c r="D45" s="58"/>
      <c r="E45" s="58"/>
      <c r="F45" s="58"/>
      <c r="G45" s="161"/>
      <c r="H45" s="58"/>
      <c r="I45" s="58"/>
      <c r="J45" s="49">
        <v>1</v>
      </c>
      <c r="L45" s="58">
        <v>-1091729</v>
      </c>
      <c r="M45" s="58">
        <v>3636281</v>
      </c>
      <c r="N45" s="58">
        <v>2264307</v>
      </c>
      <c r="O45" s="58">
        <v>229095.81999999963</v>
      </c>
      <c r="P45" s="58">
        <v>282101.55</v>
      </c>
    </row>
    <row r="46" spans="1:16" x14ac:dyDescent="0.3">
      <c r="A46" s="49" t="s">
        <v>115</v>
      </c>
      <c r="B46" s="49" t="s">
        <v>185</v>
      </c>
      <c r="C46" s="49" t="s">
        <v>186</v>
      </c>
      <c r="D46" s="58"/>
      <c r="E46" s="58"/>
      <c r="F46" s="58"/>
      <c r="G46" s="161"/>
      <c r="H46" s="58"/>
      <c r="I46" s="58"/>
      <c r="J46" s="49">
        <v>1</v>
      </c>
      <c r="L46" s="58">
        <v>-1441877</v>
      </c>
      <c r="M46" s="58">
        <v>2691967</v>
      </c>
      <c r="N46" s="58">
        <v>640284</v>
      </c>
      <c r="O46" s="58">
        <v>2717637.6889128271</v>
      </c>
      <c r="P46" s="58">
        <v>4306601.2884446522</v>
      </c>
    </row>
    <row r="47" spans="1:16" x14ac:dyDescent="0.3">
      <c r="A47" s="49" t="s">
        <v>115</v>
      </c>
      <c r="B47" s="49" t="s">
        <v>187</v>
      </c>
      <c r="C47" s="49" t="s">
        <v>188</v>
      </c>
      <c r="D47" s="58"/>
      <c r="E47" s="58"/>
      <c r="F47" s="58"/>
      <c r="G47" s="161"/>
      <c r="H47" s="58"/>
      <c r="I47" s="58"/>
      <c r="J47" s="49">
        <v>1</v>
      </c>
      <c r="L47" s="58">
        <v>23281</v>
      </c>
      <c r="M47" s="58">
        <v>2071</v>
      </c>
      <c r="N47" s="58">
        <v>3306</v>
      </c>
      <c r="O47" s="58">
        <v>7250.2200000000012</v>
      </c>
      <c r="P47" s="58">
        <v>59336.259999999995</v>
      </c>
    </row>
    <row r="48" spans="1:16" x14ac:dyDescent="0.3">
      <c r="A48" s="49" t="s">
        <v>115</v>
      </c>
      <c r="B48" s="49" t="s">
        <v>189</v>
      </c>
      <c r="C48" s="49" t="s">
        <v>210</v>
      </c>
      <c r="D48" s="58"/>
      <c r="E48" s="58"/>
      <c r="F48" s="58"/>
      <c r="G48" s="161"/>
      <c r="H48" s="58"/>
      <c r="I48" s="58"/>
      <c r="J48" s="49">
        <v>1</v>
      </c>
      <c r="L48" s="58">
        <v>-1504333</v>
      </c>
      <c r="M48" s="58">
        <v>-1435827</v>
      </c>
      <c r="N48" s="58">
        <v>-2534524</v>
      </c>
      <c r="O48" s="58">
        <v>-1929050.3143503931</v>
      </c>
      <c r="P48" s="58">
        <v>-1680442.1335461452</v>
      </c>
    </row>
    <row r="49" spans="1:16" x14ac:dyDescent="0.3">
      <c r="A49" s="49" t="s">
        <v>115</v>
      </c>
      <c r="B49" s="49" t="s">
        <v>211</v>
      </c>
      <c r="C49" s="49" t="s">
        <v>212</v>
      </c>
      <c r="D49" s="58"/>
      <c r="E49" s="58"/>
      <c r="F49" s="58"/>
      <c r="G49" s="161"/>
      <c r="H49" s="58"/>
      <c r="I49" s="58"/>
      <c r="J49" s="49">
        <v>1</v>
      </c>
      <c r="L49" s="58">
        <v>599462</v>
      </c>
      <c r="M49" s="58">
        <v>-33120</v>
      </c>
      <c r="N49" s="58">
        <v>830663</v>
      </c>
      <c r="O49" s="58">
        <v>-2308339.3475190965</v>
      </c>
      <c r="P49" s="58">
        <v>2366338.7559664818</v>
      </c>
    </row>
    <row r="50" spans="1:16" x14ac:dyDescent="0.3">
      <c r="A50" s="49" t="s">
        <v>115</v>
      </c>
      <c r="B50" s="49" t="s">
        <v>32</v>
      </c>
      <c r="C50" s="49" t="s">
        <v>213</v>
      </c>
      <c r="D50" s="58"/>
      <c r="E50" s="58"/>
      <c r="F50" s="58"/>
      <c r="G50" s="161"/>
      <c r="H50" s="58"/>
      <c r="I50" s="58"/>
      <c r="J50" s="49">
        <v>1</v>
      </c>
      <c r="L50" s="58">
        <v>-2323467</v>
      </c>
      <c r="M50" s="58">
        <v>1225091</v>
      </c>
      <c r="N50" s="58">
        <v>-1060271</v>
      </c>
      <c r="O50" s="58">
        <v>-1512501.7529566623</v>
      </c>
      <c r="P50" s="58">
        <v>5051834.1708649881</v>
      </c>
    </row>
    <row r="51" spans="1:16" x14ac:dyDescent="0.3">
      <c r="A51" s="49" t="s">
        <v>115</v>
      </c>
      <c r="B51" s="49" t="s">
        <v>33</v>
      </c>
      <c r="C51" s="49" t="s">
        <v>214</v>
      </c>
      <c r="D51" s="58"/>
      <c r="E51" s="58"/>
      <c r="F51" s="58"/>
      <c r="G51" s="161"/>
      <c r="H51" s="58"/>
      <c r="I51" s="58"/>
      <c r="J51" s="49">
        <v>1</v>
      </c>
      <c r="L51" s="58">
        <v>-111734</v>
      </c>
      <c r="M51" s="58">
        <v>-18334</v>
      </c>
      <c r="N51" s="58">
        <v>-103743</v>
      </c>
      <c r="O51" s="58">
        <v>-129334</v>
      </c>
      <c r="P51" s="58">
        <v>-548478</v>
      </c>
    </row>
    <row r="52" spans="1:16" x14ac:dyDescent="0.3">
      <c r="A52" s="49" t="s">
        <v>115</v>
      </c>
      <c r="B52" s="49" t="s">
        <v>215</v>
      </c>
      <c r="C52" s="49" t="s">
        <v>216</v>
      </c>
      <c r="D52" s="58"/>
      <c r="E52" s="58"/>
      <c r="F52" s="58"/>
      <c r="G52" s="161"/>
      <c r="H52" s="58"/>
      <c r="I52" s="58"/>
      <c r="J52" s="49">
        <v>1</v>
      </c>
      <c r="L52" s="58">
        <v>-2435201</v>
      </c>
      <c r="M52" s="58">
        <v>1206757</v>
      </c>
      <c r="N52" s="58">
        <v>-1164014</v>
      </c>
      <c r="O52" s="58">
        <v>-1641835.7529566623</v>
      </c>
      <c r="P52" s="58">
        <v>4503356.1708649881</v>
      </c>
    </row>
    <row r="53" spans="1:16" x14ac:dyDescent="0.3">
      <c r="A53" s="49" t="s">
        <v>115</v>
      </c>
      <c r="B53" s="49" t="s">
        <v>246</v>
      </c>
      <c r="C53" s="49" t="s">
        <v>217</v>
      </c>
      <c r="D53" s="58"/>
      <c r="E53" s="58"/>
      <c r="F53" s="58"/>
      <c r="G53" s="161"/>
      <c r="H53" s="58"/>
      <c r="I53" s="58"/>
      <c r="J53" s="49">
        <v>1</v>
      </c>
      <c r="L53" s="58">
        <v>-2410090</v>
      </c>
      <c r="M53" s="58">
        <v>1234821</v>
      </c>
      <c r="N53" s="58">
        <v>-1144074</v>
      </c>
      <c r="O53" s="58">
        <v>-1644292.1513219369</v>
      </c>
      <c r="P53" s="58">
        <v>4505017.1291493308</v>
      </c>
    </row>
    <row r="54" spans="1:16" x14ac:dyDescent="0.3">
      <c r="A54" s="49" t="s">
        <v>115</v>
      </c>
      <c r="B54" s="49" t="s">
        <v>247</v>
      </c>
      <c r="C54" s="49" t="s">
        <v>218</v>
      </c>
      <c r="D54" s="58"/>
      <c r="E54" s="58"/>
      <c r="F54" s="58"/>
      <c r="G54" s="161"/>
      <c r="H54" s="58"/>
      <c r="I54" s="58"/>
      <c r="J54" s="49">
        <v>1</v>
      </c>
      <c r="L54" s="58">
        <v>-25111</v>
      </c>
      <c r="M54" s="58">
        <v>-28064</v>
      </c>
      <c r="N54" s="58">
        <v>-19940</v>
      </c>
      <c r="O54" s="58">
        <v>2456.3983652742081</v>
      </c>
      <c r="P54" s="58">
        <v>-1660.958284342978</v>
      </c>
    </row>
    <row r="55" spans="1:16" s="60" customFormat="1" x14ac:dyDescent="0.3">
      <c r="A55" s="60" t="s">
        <v>115</v>
      </c>
      <c r="B55" s="60" t="s">
        <v>219</v>
      </c>
      <c r="C55" s="60" t="s">
        <v>220</v>
      </c>
      <c r="D55" s="62"/>
      <c r="E55" s="62"/>
      <c r="F55" s="62"/>
      <c r="G55" s="162"/>
      <c r="H55" s="62"/>
      <c r="I55" s="62"/>
      <c r="J55" s="49">
        <v>1</v>
      </c>
      <c r="K55" s="65"/>
      <c r="L55" s="58">
        <v>-2435201</v>
      </c>
      <c r="M55" s="58">
        <v>1206757</v>
      </c>
      <c r="N55" s="58">
        <v>-1164014</v>
      </c>
      <c r="O55" s="58">
        <v>-1641835.7529566626</v>
      </c>
      <c r="P55" s="58">
        <v>4503356.1708649881</v>
      </c>
    </row>
    <row r="56" spans="1:16" x14ac:dyDescent="0.3">
      <c r="A56" s="49" t="s">
        <v>115</v>
      </c>
      <c r="B56" s="49" t="s">
        <v>221</v>
      </c>
      <c r="C56" s="49" t="s">
        <v>222</v>
      </c>
      <c r="D56" s="58"/>
      <c r="E56" s="58"/>
      <c r="F56" s="58"/>
      <c r="G56" s="161"/>
      <c r="H56" s="58"/>
      <c r="I56" s="58"/>
      <c r="J56" s="49">
        <v>1</v>
      </c>
      <c r="L56" s="58">
        <v>-77841.297554198449</v>
      </c>
      <c r="M56" s="58">
        <v>-53287.317013970001</v>
      </c>
      <c r="N56" s="58">
        <v>733</v>
      </c>
      <c r="O56" s="58">
        <v>-67</v>
      </c>
      <c r="P56" s="58">
        <v>85</v>
      </c>
    </row>
    <row r="57" spans="1:16" x14ac:dyDescent="0.3">
      <c r="A57" s="49" t="s">
        <v>115</v>
      </c>
      <c r="B57" s="49" t="s">
        <v>223</v>
      </c>
      <c r="C57" s="49" t="s">
        <v>224</v>
      </c>
      <c r="D57" s="58"/>
      <c r="E57" s="58"/>
      <c r="F57" s="58"/>
      <c r="G57" s="161"/>
      <c r="H57" s="58"/>
      <c r="I57" s="58"/>
      <c r="J57" s="49">
        <v>1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</row>
    <row r="58" spans="1:16" x14ac:dyDescent="0.3">
      <c r="A58" s="49" t="s">
        <v>115</v>
      </c>
      <c r="B58" s="49" t="s">
        <v>225</v>
      </c>
      <c r="C58" s="49" t="s">
        <v>226</v>
      </c>
      <c r="D58" s="58"/>
      <c r="E58" s="58"/>
      <c r="F58" s="58"/>
      <c r="G58" s="161"/>
      <c r="H58" s="58"/>
      <c r="I58" s="58"/>
      <c r="J58" s="49">
        <v>1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</row>
    <row r="59" spans="1:16" x14ac:dyDescent="0.3">
      <c r="A59" s="49" t="s">
        <v>115</v>
      </c>
      <c r="B59" s="49" t="s">
        <v>227</v>
      </c>
      <c r="C59" s="49" t="s">
        <v>228</v>
      </c>
      <c r="D59" s="58"/>
      <c r="E59" s="58"/>
      <c r="F59" s="58"/>
      <c r="G59" s="161"/>
      <c r="H59" s="58"/>
      <c r="I59" s="58"/>
      <c r="J59" s="49">
        <v>1</v>
      </c>
      <c r="L59" s="58">
        <v>-2513042.2975541987</v>
      </c>
      <c r="M59" s="58">
        <v>1153469.6829860299</v>
      </c>
      <c r="N59" s="58">
        <v>-1163281</v>
      </c>
      <c r="O59" s="58">
        <v>-1641902.7529566626</v>
      </c>
      <c r="P59" s="58">
        <v>4503441.1708649881</v>
      </c>
    </row>
    <row r="60" spans="1:16" x14ac:dyDescent="0.3">
      <c r="A60" s="49" t="s">
        <v>115</v>
      </c>
      <c r="B60" s="49" t="s">
        <v>229</v>
      </c>
      <c r="C60" s="49" t="s">
        <v>230</v>
      </c>
      <c r="D60" s="58"/>
      <c r="E60" s="58"/>
      <c r="F60" s="58"/>
      <c r="G60" s="161"/>
      <c r="H60" s="58"/>
      <c r="I60" s="58"/>
      <c r="J60" s="49">
        <v>1</v>
      </c>
      <c r="L60" s="58">
        <v>-2487931.2975541987</v>
      </c>
      <c r="M60" s="58">
        <v>1181533.6829860299</v>
      </c>
      <c r="N60" s="58">
        <v>-1143341</v>
      </c>
      <c r="O60" s="58">
        <v>-1644359.1513219369</v>
      </c>
      <c r="P60" s="58">
        <v>4505102.1291493308</v>
      </c>
    </row>
    <row r="61" spans="1:16" x14ac:dyDescent="0.3">
      <c r="A61" s="49" t="s">
        <v>115</v>
      </c>
      <c r="B61" s="49" t="s">
        <v>231</v>
      </c>
      <c r="C61" s="49" t="s">
        <v>232</v>
      </c>
      <c r="D61" s="58"/>
      <c r="E61" s="58"/>
      <c r="F61" s="58"/>
      <c r="G61" s="161"/>
      <c r="H61" s="58"/>
      <c r="I61" s="58"/>
      <c r="J61" s="49">
        <v>1</v>
      </c>
      <c r="L61" s="58">
        <v>-25111</v>
      </c>
      <c r="M61" s="58">
        <v>-28064</v>
      </c>
      <c r="N61" s="58">
        <v>-19940</v>
      </c>
      <c r="O61" s="58">
        <v>2456.3983652742081</v>
      </c>
      <c r="P61" s="58">
        <v>-1660.958284342978</v>
      </c>
    </row>
    <row r="62" spans="1:16" x14ac:dyDescent="0.3">
      <c r="A62" s="49" t="s">
        <v>115</v>
      </c>
      <c r="B62" s="49" t="s">
        <v>155</v>
      </c>
      <c r="C62" s="49" t="s">
        <v>155</v>
      </c>
      <c r="D62" s="58"/>
      <c r="E62" s="58"/>
      <c r="F62" s="58"/>
      <c r="G62" s="161"/>
      <c r="H62" s="58"/>
      <c r="I62" s="58"/>
      <c r="J62" s="49">
        <v>1</v>
      </c>
      <c r="L62" s="58">
        <v>5809517</v>
      </c>
      <c r="M62" s="58">
        <v>5208031</v>
      </c>
      <c r="N62" s="58">
        <v>4326139</v>
      </c>
      <c r="O62" s="58">
        <v>8366530.4845624231</v>
      </c>
      <c r="P62" s="58">
        <v>9825993.5648985021</v>
      </c>
    </row>
    <row r="63" spans="1:16" x14ac:dyDescent="0.3">
      <c r="A63" s="49" t="s">
        <v>115</v>
      </c>
      <c r="B63" s="49" t="s">
        <v>105</v>
      </c>
      <c r="C63" s="49" t="s">
        <v>106</v>
      </c>
      <c r="D63" s="58"/>
      <c r="E63" s="58"/>
      <c r="F63" s="58"/>
      <c r="G63" s="161"/>
      <c r="H63" s="58"/>
      <c r="I63" s="58"/>
      <c r="J63" s="49">
        <v>1</v>
      </c>
      <c r="L63" s="58">
        <v>97021407</v>
      </c>
      <c r="M63" s="58">
        <v>108637881</v>
      </c>
      <c r="N63" s="58">
        <v>104686106</v>
      </c>
      <c r="O63" s="58">
        <v>108676870.65568</v>
      </c>
      <c r="P63" s="58">
        <v>132813228.22619048</v>
      </c>
    </row>
    <row r="64" spans="1:16" x14ac:dyDescent="0.3">
      <c r="A64" s="49" t="s">
        <v>115</v>
      </c>
      <c r="B64" s="49" t="s">
        <v>234</v>
      </c>
      <c r="C64" s="49" t="s">
        <v>233</v>
      </c>
      <c r="D64" s="58"/>
      <c r="E64" s="58"/>
      <c r="F64" s="58"/>
      <c r="G64" s="161"/>
      <c r="H64" s="58"/>
      <c r="I64" s="58"/>
      <c r="J64" s="49">
        <v>1</v>
      </c>
      <c r="L64" s="58">
        <v>8823198</v>
      </c>
      <c r="M64" s="58">
        <v>7065173</v>
      </c>
      <c r="N64" s="58">
        <v>6735548</v>
      </c>
      <c r="O64" s="58">
        <v>7283969.0175999999</v>
      </c>
      <c r="P64" s="58">
        <v>8418570.1492629666</v>
      </c>
    </row>
    <row r="65" spans="1:16" x14ac:dyDescent="0.3">
      <c r="A65" s="49" t="s">
        <v>115</v>
      </c>
      <c r="B65" s="49" t="s">
        <v>38</v>
      </c>
      <c r="C65" s="49" t="s">
        <v>42</v>
      </c>
      <c r="D65" s="58"/>
      <c r="E65" s="58"/>
      <c r="F65" s="58"/>
      <c r="G65" s="161"/>
      <c r="H65" s="58"/>
      <c r="I65" s="58"/>
      <c r="J65" s="49">
        <v>1</v>
      </c>
      <c r="L65" s="58">
        <v>1994286</v>
      </c>
      <c r="M65" s="58">
        <v>1979599</v>
      </c>
      <c r="N65" s="58">
        <v>1193233</v>
      </c>
      <c r="O65" s="58">
        <v>2287854.58</v>
      </c>
      <c r="P65" s="58">
        <v>1299563.94092437</v>
      </c>
    </row>
    <row r="66" spans="1:16" x14ac:dyDescent="0.3">
      <c r="A66" s="49" t="s">
        <v>115</v>
      </c>
      <c r="B66" s="49" t="s">
        <v>39</v>
      </c>
      <c r="C66" s="49" t="s">
        <v>43</v>
      </c>
      <c r="D66" s="58"/>
      <c r="E66" s="58"/>
      <c r="F66" s="58"/>
      <c r="G66" s="161"/>
      <c r="H66" s="58"/>
      <c r="I66" s="58"/>
      <c r="J66" s="49">
        <v>1</v>
      </c>
      <c r="L66" s="58">
        <v>16084214</v>
      </c>
      <c r="M66" s="58">
        <v>10441771</v>
      </c>
      <c r="N66" s="58">
        <v>8923021</v>
      </c>
      <c r="O66" s="58">
        <v>8339966.5999999959</v>
      </c>
      <c r="P66" s="58">
        <v>12274974.889075637</v>
      </c>
    </row>
    <row r="67" spans="1:16" x14ac:dyDescent="0.3">
      <c r="A67" s="49" t="s">
        <v>115</v>
      </c>
      <c r="B67" s="49" t="s">
        <v>40</v>
      </c>
      <c r="C67" s="49" t="s">
        <v>44</v>
      </c>
      <c r="D67" s="58"/>
      <c r="E67" s="58"/>
      <c r="F67" s="58"/>
      <c r="G67" s="161"/>
      <c r="H67" s="58"/>
      <c r="I67" s="58"/>
      <c r="J67" s="49">
        <v>1</v>
      </c>
      <c r="L67" s="58">
        <v>335337</v>
      </c>
      <c r="M67" s="58">
        <v>350636</v>
      </c>
      <c r="N67" s="58">
        <v>255667</v>
      </c>
      <c r="O67" s="58">
        <v>321760</v>
      </c>
      <c r="P67" s="58">
        <v>128713.89999999991</v>
      </c>
    </row>
    <row r="68" spans="1:16" x14ac:dyDescent="0.3">
      <c r="A68" s="49" t="s">
        <v>115</v>
      </c>
      <c r="B68" s="49" t="s">
        <v>34</v>
      </c>
      <c r="C68" s="49" t="s">
        <v>35</v>
      </c>
      <c r="D68" s="58"/>
      <c r="E68" s="58"/>
      <c r="F68" s="58"/>
      <c r="G68" s="161"/>
      <c r="H68" s="58"/>
      <c r="I68" s="58"/>
      <c r="J68" s="49">
        <v>1</v>
      </c>
      <c r="L68" s="58">
        <v>983884</v>
      </c>
      <c r="M68" s="58">
        <v>825747</v>
      </c>
      <c r="N68" s="58">
        <v>919383</v>
      </c>
      <c r="O68" s="58">
        <v>678966.90999999992</v>
      </c>
      <c r="P68" s="58">
        <v>1037527.1699999998</v>
      </c>
    </row>
    <row r="69" spans="1:16" x14ac:dyDescent="0.3">
      <c r="A69" s="49" t="s">
        <v>115</v>
      </c>
      <c r="B69" s="49" t="s">
        <v>79</v>
      </c>
      <c r="C69" s="49" t="s">
        <v>86</v>
      </c>
      <c r="D69" s="58"/>
      <c r="E69" s="58"/>
      <c r="F69" s="58"/>
      <c r="G69" s="161"/>
      <c r="H69" s="58"/>
      <c r="I69" s="58"/>
      <c r="J69" s="49">
        <v>1</v>
      </c>
      <c r="L69" s="58">
        <v>1975169</v>
      </c>
      <c r="M69" s="58">
        <v>2007500</v>
      </c>
      <c r="N69" s="58">
        <v>2076082</v>
      </c>
      <c r="O69" s="58">
        <v>1907751.13</v>
      </c>
      <c r="P69" s="58">
        <v>1872845.4</v>
      </c>
    </row>
    <row r="70" spans="1:16" x14ac:dyDescent="0.3">
      <c r="A70" s="49" t="s">
        <v>115</v>
      </c>
      <c r="B70" s="49" t="s">
        <v>77</v>
      </c>
      <c r="C70" s="49" t="s">
        <v>84</v>
      </c>
      <c r="D70" s="58"/>
      <c r="E70" s="58"/>
      <c r="F70" s="58"/>
      <c r="G70" s="161"/>
      <c r="H70" s="58"/>
      <c r="I70" s="58"/>
      <c r="J70" s="49">
        <v>1</v>
      </c>
      <c r="L70" s="58">
        <v>1178792</v>
      </c>
      <c r="M70" s="58">
        <v>1219001</v>
      </c>
      <c r="N70" s="58">
        <v>1135918</v>
      </c>
      <c r="O70" s="58">
        <v>899195.75</v>
      </c>
      <c r="P70" s="58">
        <v>824452.27</v>
      </c>
    </row>
    <row r="71" spans="1:16" x14ac:dyDescent="0.3">
      <c r="A71" s="49" t="s">
        <v>115</v>
      </c>
      <c r="B71" s="49" t="s">
        <v>78</v>
      </c>
      <c r="C71" s="49" t="s">
        <v>85</v>
      </c>
      <c r="D71" s="58"/>
      <c r="E71" s="58"/>
      <c r="F71" s="58"/>
      <c r="G71" s="161"/>
      <c r="H71" s="58"/>
      <c r="I71" s="58"/>
      <c r="J71" s="49">
        <v>1</v>
      </c>
      <c r="L71" s="58">
        <v>8044716</v>
      </c>
      <c r="M71" s="58">
        <v>8254973</v>
      </c>
      <c r="N71" s="58">
        <v>8153995</v>
      </c>
      <c r="O71" s="58">
        <v>7724818.1399999997</v>
      </c>
      <c r="P71" s="58">
        <v>7452482.4600000009</v>
      </c>
    </row>
    <row r="72" spans="1:16" x14ac:dyDescent="0.3">
      <c r="D72" s="58"/>
      <c r="E72" s="58"/>
      <c r="F72" s="58"/>
      <c r="G72" s="161"/>
      <c r="H72" s="58"/>
      <c r="I72" s="58"/>
      <c r="L72" s="58"/>
      <c r="M72" s="58"/>
      <c r="N72" s="58"/>
      <c r="O72" s="58"/>
      <c r="P72" s="58"/>
    </row>
    <row r="73" spans="1:16" x14ac:dyDescent="0.3">
      <c r="D73" s="58"/>
      <c r="E73" s="58"/>
      <c r="F73" s="58"/>
      <c r="G73" s="161"/>
      <c r="H73" s="58"/>
      <c r="I73" s="58"/>
      <c r="L73" s="58"/>
      <c r="M73" s="58"/>
      <c r="N73" s="58"/>
      <c r="O73" s="58"/>
      <c r="P73" s="58"/>
    </row>
    <row r="74" spans="1:16" x14ac:dyDescent="0.3">
      <c r="D74" s="58"/>
      <c r="E74" s="58"/>
      <c r="F74" s="58"/>
      <c r="G74" s="161"/>
      <c r="H74" s="58"/>
      <c r="I74" s="58"/>
      <c r="L74" s="58"/>
      <c r="M74" s="58"/>
      <c r="N74" s="58"/>
      <c r="O74" s="58"/>
      <c r="P74" s="58"/>
    </row>
    <row r="75" spans="1:16" x14ac:dyDescent="0.3">
      <c r="D75" s="58"/>
      <c r="E75" s="58"/>
      <c r="F75" s="58"/>
      <c r="G75" s="161"/>
      <c r="H75" s="58"/>
      <c r="I75" s="58"/>
      <c r="L75" s="58"/>
      <c r="M75" s="58"/>
      <c r="N75" s="58"/>
      <c r="O75" s="58"/>
      <c r="P75" s="58"/>
    </row>
    <row r="76" spans="1:16" x14ac:dyDescent="0.3">
      <c r="D76" s="58"/>
      <c r="E76" s="58"/>
      <c r="F76" s="58"/>
      <c r="G76" s="161"/>
      <c r="H76" s="58"/>
      <c r="I76" s="58"/>
      <c r="L76" s="58"/>
      <c r="M76" s="58"/>
      <c r="N76" s="58"/>
      <c r="O76" s="58"/>
      <c r="P76" s="58"/>
    </row>
    <row r="77" spans="1:16" x14ac:dyDescent="0.3">
      <c r="D77" s="58"/>
      <c r="E77" s="58"/>
      <c r="F77" s="58"/>
      <c r="G77" s="161"/>
      <c r="H77" s="58"/>
      <c r="I77" s="58"/>
      <c r="L77" s="58"/>
      <c r="M77" s="58"/>
      <c r="N77" s="58"/>
      <c r="O77" s="58"/>
      <c r="P77" s="58"/>
    </row>
    <row r="78" spans="1:16" x14ac:dyDescent="0.3">
      <c r="D78" s="58"/>
      <c r="E78" s="58"/>
      <c r="F78" s="58"/>
      <c r="G78" s="161"/>
      <c r="H78" s="58"/>
      <c r="I78" s="58"/>
      <c r="L78" s="58"/>
      <c r="M78" s="58"/>
      <c r="N78" s="58"/>
      <c r="O78" s="58"/>
      <c r="P78" s="58"/>
    </row>
    <row r="79" spans="1:16" x14ac:dyDescent="0.3">
      <c r="D79" s="58"/>
      <c r="E79" s="58"/>
      <c r="F79" s="58"/>
      <c r="G79" s="161"/>
      <c r="H79" s="58"/>
      <c r="I79" s="58"/>
      <c r="L79" s="58"/>
      <c r="M79" s="58"/>
      <c r="N79" s="58"/>
      <c r="O79" s="58"/>
      <c r="P79" s="58"/>
    </row>
    <row r="80" spans="1:16" x14ac:dyDescent="0.3">
      <c r="D80" s="58"/>
      <c r="E80" s="58"/>
      <c r="F80" s="58"/>
      <c r="G80" s="161"/>
      <c r="H80" s="58"/>
      <c r="I80" s="58"/>
      <c r="L80" s="58"/>
      <c r="M80" s="58"/>
      <c r="N80" s="58"/>
      <c r="O80" s="58"/>
      <c r="P80" s="58"/>
    </row>
    <row r="81" spans="4:16" x14ac:dyDescent="0.3">
      <c r="D81" s="58"/>
      <c r="E81" s="58"/>
      <c r="F81" s="58"/>
      <c r="G81" s="161"/>
      <c r="H81" s="58"/>
      <c r="I81" s="58"/>
      <c r="L81" s="58"/>
      <c r="M81" s="58"/>
      <c r="N81" s="58"/>
      <c r="O81" s="58"/>
      <c r="P81" s="58"/>
    </row>
    <row r="82" spans="4:16" x14ac:dyDescent="0.3">
      <c r="D82" s="58"/>
      <c r="E82" s="58"/>
      <c r="F82" s="58"/>
      <c r="G82" s="161"/>
      <c r="H82" s="58"/>
      <c r="I82" s="58"/>
      <c r="L82" s="58"/>
      <c r="M82" s="58"/>
      <c r="N82" s="58"/>
      <c r="O82" s="58"/>
      <c r="P82" s="58"/>
    </row>
    <row r="83" spans="4:16" x14ac:dyDescent="0.3">
      <c r="D83" s="58"/>
      <c r="E83" s="58"/>
      <c r="F83" s="58"/>
      <c r="G83" s="161"/>
      <c r="H83" s="58"/>
      <c r="I83" s="58"/>
      <c r="L83" s="58"/>
      <c r="M83" s="58"/>
      <c r="N83" s="58"/>
      <c r="O83" s="58"/>
      <c r="P83" s="58"/>
    </row>
    <row r="84" spans="4:16" x14ac:dyDescent="0.3">
      <c r="D84" s="58"/>
      <c r="E84" s="58"/>
      <c r="F84" s="58"/>
      <c r="G84" s="161"/>
      <c r="H84" s="58"/>
      <c r="I84" s="58"/>
      <c r="L84" s="58"/>
      <c r="M84" s="58"/>
      <c r="N84" s="58"/>
      <c r="O84" s="58"/>
      <c r="P84" s="58"/>
    </row>
    <row r="85" spans="4:16" x14ac:dyDescent="0.3">
      <c r="D85" s="58"/>
      <c r="E85" s="58"/>
      <c r="F85" s="58"/>
      <c r="G85" s="161"/>
      <c r="H85" s="58"/>
      <c r="I85" s="58"/>
      <c r="L85" s="58"/>
      <c r="M85" s="58"/>
      <c r="N85" s="58"/>
      <c r="O85" s="58"/>
      <c r="P85" s="58"/>
    </row>
    <row r="86" spans="4:16" x14ac:dyDescent="0.3">
      <c r="D86" s="58"/>
      <c r="E86" s="58"/>
      <c r="F86" s="58"/>
      <c r="G86" s="161"/>
      <c r="H86" s="58"/>
      <c r="I86" s="58"/>
      <c r="L86" s="58"/>
      <c r="M86" s="58"/>
      <c r="N86" s="58"/>
      <c r="O86" s="58"/>
      <c r="P86" s="58"/>
    </row>
    <row r="87" spans="4:16" x14ac:dyDescent="0.3">
      <c r="D87" s="58"/>
      <c r="E87" s="58"/>
      <c r="F87" s="58"/>
      <c r="G87" s="161"/>
      <c r="H87" s="58"/>
      <c r="I87" s="58"/>
      <c r="L87" s="58"/>
      <c r="M87" s="58"/>
      <c r="N87" s="58"/>
      <c r="O87" s="58"/>
      <c r="P87" s="58"/>
    </row>
    <row r="88" spans="4:16" x14ac:dyDescent="0.3">
      <c r="D88" s="58"/>
      <c r="E88" s="58"/>
      <c r="F88" s="58"/>
      <c r="G88" s="161"/>
      <c r="H88" s="58"/>
      <c r="I88" s="58"/>
      <c r="L88" s="58"/>
      <c r="M88" s="58"/>
      <c r="N88" s="58"/>
      <c r="O88" s="58"/>
      <c r="P88" s="58"/>
    </row>
    <row r="89" spans="4:16" x14ac:dyDescent="0.3">
      <c r="D89" s="58"/>
      <c r="E89" s="58"/>
      <c r="F89" s="58"/>
      <c r="G89" s="161"/>
      <c r="H89" s="58"/>
      <c r="I89" s="58"/>
      <c r="L89" s="58"/>
      <c r="M89" s="58"/>
      <c r="N89" s="58"/>
      <c r="O89" s="58"/>
      <c r="P89" s="58"/>
    </row>
    <row r="90" spans="4:16" x14ac:dyDescent="0.3">
      <c r="D90" s="58"/>
      <c r="E90" s="58"/>
      <c r="F90" s="58"/>
      <c r="G90" s="161"/>
      <c r="H90" s="58"/>
      <c r="I90" s="58"/>
      <c r="L90" s="58"/>
      <c r="M90" s="58"/>
      <c r="N90" s="58"/>
      <c r="O90" s="58"/>
      <c r="P90" s="58"/>
    </row>
    <row r="91" spans="4:16" x14ac:dyDescent="0.3">
      <c r="D91" s="58"/>
      <c r="E91" s="58"/>
      <c r="F91" s="58"/>
      <c r="G91" s="161"/>
      <c r="H91" s="58"/>
      <c r="I91" s="58"/>
      <c r="L91" s="58"/>
      <c r="M91" s="58"/>
      <c r="N91" s="58"/>
      <c r="O91" s="58"/>
      <c r="P91" s="58"/>
    </row>
    <row r="92" spans="4:16" x14ac:dyDescent="0.3">
      <c r="D92" s="58"/>
      <c r="E92" s="58"/>
      <c r="F92" s="58"/>
      <c r="G92" s="161"/>
      <c r="H92" s="58"/>
      <c r="I92" s="58"/>
      <c r="L92" s="58"/>
      <c r="M92" s="58"/>
      <c r="N92" s="58"/>
      <c r="O92" s="58"/>
      <c r="P92" s="58"/>
    </row>
    <row r="93" spans="4:16" x14ac:dyDescent="0.3">
      <c r="D93" s="58"/>
      <c r="E93" s="58"/>
      <c r="F93" s="58"/>
      <c r="G93" s="161"/>
      <c r="H93" s="58"/>
      <c r="I93" s="58"/>
      <c r="L93" s="58"/>
      <c r="M93" s="58"/>
      <c r="N93" s="58"/>
      <c r="O93" s="58"/>
      <c r="P93" s="58"/>
    </row>
    <row r="94" spans="4:16" x14ac:dyDescent="0.3">
      <c r="D94" s="58"/>
      <c r="E94" s="58"/>
      <c r="F94" s="58"/>
      <c r="G94" s="161"/>
      <c r="H94" s="58"/>
      <c r="I94" s="58"/>
      <c r="L94" s="58"/>
      <c r="M94" s="58"/>
      <c r="N94" s="58"/>
      <c r="O94" s="58"/>
      <c r="P94" s="58"/>
    </row>
    <row r="95" spans="4:16" x14ac:dyDescent="0.3">
      <c r="D95" s="58"/>
      <c r="E95" s="58"/>
      <c r="F95" s="58"/>
      <c r="G95" s="161"/>
      <c r="H95" s="58"/>
      <c r="I95" s="58"/>
      <c r="L95" s="58"/>
      <c r="M95" s="58"/>
      <c r="N95" s="58"/>
      <c r="O95" s="58"/>
      <c r="P95" s="58"/>
    </row>
    <row r="96" spans="4:16" x14ac:dyDescent="0.3">
      <c r="D96" s="58"/>
      <c r="E96" s="58"/>
      <c r="F96" s="58"/>
      <c r="G96" s="161"/>
      <c r="H96" s="58"/>
      <c r="I96" s="58"/>
      <c r="L96" s="58"/>
      <c r="M96" s="58"/>
      <c r="N96" s="58"/>
      <c r="O96" s="58"/>
      <c r="P96" s="58"/>
    </row>
    <row r="97" spans="4:16" x14ac:dyDescent="0.3">
      <c r="D97" s="58"/>
      <c r="E97" s="58"/>
      <c r="F97" s="58"/>
      <c r="G97" s="161"/>
      <c r="H97" s="58"/>
      <c r="I97" s="58"/>
      <c r="L97" s="58"/>
      <c r="M97" s="58"/>
      <c r="N97" s="58"/>
      <c r="O97" s="58"/>
      <c r="P97" s="58"/>
    </row>
    <row r="98" spans="4:16" x14ac:dyDescent="0.3">
      <c r="D98" s="58"/>
      <c r="E98" s="58"/>
      <c r="F98" s="58"/>
      <c r="G98" s="161"/>
      <c r="H98" s="58"/>
      <c r="I98" s="58"/>
      <c r="L98" s="58"/>
      <c r="M98" s="58"/>
      <c r="N98" s="58"/>
      <c r="O98" s="58"/>
      <c r="P98" s="58"/>
    </row>
    <row r="99" spans="4:16" x14ac:dyDescent="0.3">
      <c r="D99" s="58"/>
      <c r="E99" s="58"/>
      <c r="F99" s="58"/>
      <c r="G99" s="161"/>
      <c r="H99" s="58"/>
      <c r="I99" s="58"/>
      <c r="L99" s="58"/>
      <c r="M99" s="58"/>
      <c r="N99" s="58"/>
      <c r="O99" s="58"/>
      <c r="P99" s="58"/>
    </row>
    <row r="100" spans="4:16" x14ac:dyDescent="0.3">
      <c r="D100" s="58"/>
      <c r="E100" s="58"/>
      <c r="F100" s="58"/>
      <c r="G100" s="161"/>
      <c r="H100" s="58"/>
      <c r="I100" s="58"/>
      <c r="L100" s="58"/>
      <c r="M100" s="58"/>
      <c r="N100" s="58"/>
      <c r="O100" s="58"/>
      <c r="P100" s="58"/>
    </row>
    <row r="101" spans="4:16" x14ac:dyDescent="0.3">
      <c r="D101" s="58"/>
      <c r="E101" s="58"/>
      <c r="F101" s="58"/>
      <c r="G101" s="161"/>
      <c r="H101" s="58"/>
      <c r="I101" s="58"/>
      <c r="L101" s="58"/>
      <c r="M101" s="58"/>
      <c r="N101" s="58"/>
      <c r="O101" s="58"/>
      <c r="P101" s="58"/>
    </row>
    <row r="102" spans="4:16" x14ac:dyDescent="0.3">
      <c r="D102" s="58"/>
      <c r="E102" s="58"/>
      <c r="F102" s="58"/>
      <c r="G102" s="161"/>
      <c r="H102" s="58"/>
      <c r="I102" s="58"/>
      <c r="L102" s="58"/>
      <c r="M102" s="58"/>
      <c r="N102" s="58"/>
      <c r="O102" s="58"/>
      <c r="P102" s="58"/>
    </row>
    <row r="103" spans="4:16" x14ac:dyDescent="0.3">
      <c r="D103" s="58"/>
      <c r="E103" s="58"/>
      <c r="F103" s="58"/>
      <c r="G103" s="161"/>
      <c r="H103" s="58"/>
      <c r="I103" s="58"/>
      <c r="L103" s="58"/>
      <c r="M103" s="58"/>
      <c r="N103" s="58"/>
      <c r="O103" s="58"/>
      <c r="P103" s="58"/>
    </row>
    <row r="104" spans="4:16" x14ac:dyDescent="0.3">
      <c r="D104" s="58"/>
      <c r="E104" s="58"/>
      <c r="F104" s="58"/>
      <c r="G104" s="161"/>
      <c r="H104" s="58"/>
      <c r="I104" s="58"/>
      <c r="L104" s="58"/>
      <c r="M104" s="58"/>
      <c r="N104" s="58"/>
      <c r="O104" s="58"/>
      <c r="P104" s="58"/>
    </row>
    <row r="105" spans="4:16" x14ac:dyDescent="0.3">
      <c r="D105" s="58"/>
      <c r="E105" s="58"/>
      <c r="F105" s="58"/>
      <c r="G105" s="161"/>
      <c r="H105" s="58"/>
      <c r="I105" s="58"/>
      <c r="L105" s="58"/>
      <c r="M105" s="58"/>
      <c r="N105" s="58"/>
      <c r="O105" s="58"/>
      <c r="P105" s="58"/>
    </row>
    <row r="106" spans="4:16" x14ac:dyDescent="0.3">
      <c r="D106" s="58"/>
      <c r="E106" s="58"/>
      <c r="F106" s="58"/>
      <c r="G106" s="161"/>
      <c r="H106" s="58"/>
      <c r="I106" s="58"/>
      <c r="L106" s="58"/>
      <c r="M106" s="58"/>
      <c r="N106" s="58"/>
      <c r="O106" s="58"/>
      <c r="P106" s="58"/>
    </row>
    <row r="107" spans="4:16" x14ac:dyDescent="0.3">
      <c r="D107" s="58"/>
      <c r="E107" s="58"/>
      <c r="F107" s="58"/>
      <c r="G107" s="161"/>
      <c r="H107" s="58"/>
      <c r="I107" s="58"/>
      <c r="L107" s="58"/>
      <c r="M107" s="58"/>
      <c r="N107" s="58"/>
      <c r="O107" s="58"/>
      <c r="P107" s="58"/>
    </row>
    <row r="108" spans="4:16" x14ac:dyDescent="0.3">
      <c r="D108" s="58"/>
      <c r="E108" s="58"/>
      <c r="F108" s="58"/>
      <c r="G108" s="161"/>
      <c r="H108" s="58"/>
      <c r="I108" s="58"/>
      <c r="L108" s="58"/>
      <c r="M108" s="58"/>
      <c r="N108" s="58"/>
      <c r="O108" s="58"/>
      <c r="P108" s="58"/>
    </row>
    <row r="109" spans="4:16" x14ac:dyDescent="0.3">
      <c r="D109" s="58"/>
      <c r="E109" s="58"/>
      <c r="F109" s="58"/>
      <c r="G109" s="161"/>
      <c r="H109" s="58"/>
      <c r="I109" s="58"/>
      <c r="L109" s="58"/>
      <c r="M109" s="58"/>
      <c r="N109" s="58"/>
      <c r="O109" s="58"/>
      <c r="P109" s="58"/>
    </row>
    <row r="110" spans="4:16" x14ac:dyDescent="0.3">
      <c r="D110" s="58"/>
      <c r="E110" s="58"/>
      <c r="F110" s="58"/>
      <c r="G110" s="161"/>
      <c r="H110" s="58"/>
      <c r="I110" s="58"/>
      <c r="L110" s="58"/>
      <c r="M110" s="58"/>
      <c r="N110" s="58"/>
      <c r="O110" s="58"/>
      <c r="P110" s="58"/>
    </row>
    <row r="111" spans="4:16" x14ac:dyDescent="0.3">
      <c r="D111" s="58"/>
      <c r="E111" s="58"/>
      <c r="F111" s="58"/>
      <c r="G111" s="161"/>
      <c r="H111" s="58"/>
      <c r="I111" s="58"/>
      <c r="L111" s="58"/>
      <c r="M111" s="58"/>
      <c r="N111" s="58"/>
      <c r="O111" s="58"/>
      <c r="P111" s="58"/>
    </row>
    <row r="112" spans="4:16" x14ac:dyDescent="0.3">
      <c r="D112" s="58"/>
      <c r="E112" s="58"/>
      <c r="F112" s="58"/>
      <c r="G112" s="161"/>
      <c r="H112" s="58"/>
      <c r="I112" s="58"/>
      <c r="L112" s="58"/>
      <c r="M112" s="58"/>
      <c r="N112" s="58"/>
      <c r="O112" s="58"/>
      <c r="P112" s="58"/>
    </row>
    <row r="113" spans="4:16" x14ac:dyDescent="0.3">
      <c r="D113" s="58"/>
      <c r="E113" s="58"/>
      <c r="F113" s="58"/>
      <c r="G113" s="161"/>
      <c r="H113" s="58"/>
      <c r="I113" s="58"/>
      <c r="L113" s="58"/>
      <c r="M113" s="58"/>
      <c r="N113" s="58"/>
      <c r="O113" s="58"/>
      <c r="P113" s="58"/>
    </row>
    <row r="114" spans="4:16" x14ac:dyDescent="0.3">
      <c r="D114" s="58"/>
      <c r="E114" s="58"/>
      <c r="F114" s="58"/>
      <c r="G114" s="161"/>
      <c r="H114" s="58"/>
      <c r="I114" s="58"/>
      <c r="L114" s="58"/>
      <c r="M114" s="58"/>
      <c r="N114" s="58"/>
      <c r="O114" s="58"/>
      <c r="P114" s="58"/>
    </row>
    <row r="115" spans="4:16" x14ac:dyDescent="0.3">
      <c r="D115" s="58"/>
      <c r="E115" s="58"/>
      <c r="F115" s="58"/>
      <c r="G115" s="161"/>
      <c r="H115" s="58"/>
      <c r="I115" s="58"/>
      <c r="L115" s="58"/>
      <c r="M115" s="58"/>
      <c r="N115" s="58"/>
      <c r="O115" s="58"/>
      <c r="P115" s="58"/>
    </row>
    <row r="116" spans="4:16" x14ac:dyDescent="0.3">
      <c r="D116" s="58"/>
      <c r="E116" s="58"/>
      <c r="F116" s="58"/>
      <c r="G116" s="161"/>
      <c r="H116" s="58"/>
      <c r="I116" s="58"/>
      <c r="L116" s="58"/>
      <c r="M116" s="58"/>
      <c r="N116" s="58"/>
      <c r="O116" s="58"/>
      <c r="P116" s="58"/>
    </row>
    <row r="117" spans="4:16" x14ac:dyDescent="0.3">
      <c r="D117" s="58"/>
      <c r="E117" s="58"/>
      <c r="F117" s="58"/>
      <c r="G117" s="161"/>
      <c r="H117" s="58"/>
      <c r="I117" s="58"/>
      <c r="L117" s="58"/>
      <c r="M117" s="58"/>
      <c r="N117" s="58"/>
      <c r="O117" s="58"/>
      <c r="P117" s="58"/>
    </row>
    <row r="118" spans="4:16" x14ac:dyDescent="0.3">
      <c r="D118" s="58"/>
      <c r="E118" s="58"/>
      <c r="F118" s="58"/>
      <c r="G118" s="161"/>
      <c r="H118" s="58"/>
      <c r="I118" s="58"/>
      <c r="L118" s="58"/>
      <c r="M118" s="58"/>
      <c r="N118" s="58"/>
      <c r="O118" s="58"/>
      <c r="P118" s="58"/>
    </row>
    <row r="119" spans="4:16" x14ac:dyDescent="0.3">
      <c r="D119" s="58"/>
      <c r="E119" s="58"/>
      <c r="F119" s="58"/>
      <c r="G119" s="161"/>
      <c r="H119" s="58"/>
      <c r="I119" s="58"/>
      <c r="L119" s="58"/>
      <c r="M119" s="58"/>
      <c r="N119" s="58"/>
      <c r="O119" s="58"/>
      <c r="P119" s="58"/>
    </row>
    <row r="120" spans="4:16" x14ac:dyDescent="0.3">
      <c r="D120" s="58"/>
      <c r="E120" s="58"/>
      <c r="F120" s="58"/>
      <c r="G120" s="161"/>
      <c r="H120" s="58"/>
      <c r="I120" s="58"/>
      <c r="L120" s="58"/>
      <c r="M120" s="58"/>
      <c r="N120" s="58"/>
      <c r="O120" s="58"/>
      <c r="P120" s="58"/>
    </row>
    <row r="121" spans="4:16" x14ac:dyDescent="0.3">
      <c r="D121" s="58"/>
      <c r="E121" s="58"/>
      <c r="F121" s="58"/>
      <c r="G121" s="161"/>
      <c r="H121" s="58"/>
      <c r="I121" s="58"/>
      <c r="L121" s="58"/>
      <c r="M121" s="58"/>
      <c r="N121" s="58"/>
      <c r="O121" s="58"/>
      <c r="P121" s="58"/>
    </row>
    <row r="122" spans="4:16" x14ac:dyDescent="0.3">
      <c r="D122" s="58"/>
      <c r="E122" s="58"/>
      <c r="F122" s="58"/>
      <c r="G122" s="161"/>
      <c r="H122" s="58"/>
      <c r="I122" s="58"/>
      <c r="L122" s="58"/>
      <c r="M122" s="58"/>
      <c r="N122" s="58"/>
      <c r="O122" s="58"/>
      <c r="P122" s="58"/>
    </row>
    <row r="123" spans="4:16" s="60" customFormat="1" x14ac:dyDescent="0.3">
      <c r="D123" s="62"/>
      <c r="E123" s="62"/>
      <c r="F123" s="62"/>
      <c r="G123" s="162"/>
      <c r="H123" s="62"/>
      <c r="I123" s="62"/>
      <c r="J123" s="49"/>
      <c r="K123" s="65"/>
      <c r="L123" s="58"/>
      <c r="M123" s="58"/>
      <c r="N123" s="58"/>
      <c r="O123" s="58"/>
      <c r="P123" s="58"/>
    </row>
    <row r="124" spans="4:16" x14ac:dyDescent="0.3">
      <c r="D124" s="58"/>
      <c r="E124" s="58"/>
      <c r="F124" s="58"/>
      <c r="G124" s="161"/>
      <c r="H124" s="58"/>
      <c r="I124" s="58"/>
      <c r="L124" s="58"/>
      <c r="M124" s="58"/>
      <c r="N124" s="58"/>
      <c r="O124" s="58"/>
      <c r="P124" s="58"/>
    </row>
    <row r="125" spans="4:16" x14ac:dyDescent="0.3">
      <c r="D125" s="58"/>
      <c r="E125" s="58"/>
      <c r="F125" s="58"/>
      <c r="G125" s="161"/>
      <c r="H125" s="58"/>
      <c r="I125" s="58"/>
      <c r="L125" s="58"/>
      <c r="M125" s="58"/>
      <c r="N125" s="58"/>
      <c r="O125" s="58"/>
      <c r="P125" s="58"/>
    </row>
    <row r="126" spans="4:16" x14ac:dyDescent="0.3">
      <c r="D126" s="58"/>
      <c r="E126" s="58"/>
      <c r="F126" s="58"/>
      <c r="G126" s="161"/>
      <c r="H126" s="58"/>
      <c r="I126" s="58"/>
      <c r="L126" s="58"/>
      <c r="M126" s="58"/>
      <c r="N126" s="58"/>
      <c r="O126" s="58"/>
      <c r="P126" s="58"/>
    </row>
    <row r="127" spans="4:16" x14ac:dyDescent="0.3">
      <c r="D127" s="58"/>
      <c r="E127" s="58"/>
      <c r="F127" s="58"/>
      <c r="G127" s="161"/>
      <c r="H127" s="58"/>
      <c r="I127" s="58"/>
      <c r="L127" s="58"/>
      <c r="M127" s="58"/>
      <c r="N127" s="58"/>
      <c r="O127" s="58"/>
      <c r="P127" s="58"/>
    </row>
    <row r="128" spans="4:16" x14ac:dyDescent="0.3">
      <c r="D128" s="58"/>
      <c r="E128" s="58"/>
      <c r="F128" s="58"/>
      <c r="G128" s="161"/>
      <c r="H128" s="58"/>
      <c r="I128" s="58"/>
      <c r="L128" s="58"/>
      <c r="M128" s="58"/>
      <c r="N128" s="58"/>
      <c r="O128" s="58"/>
      <c r="P128" s="58"/>
    </row>
    <row r="129" spans="4:16" x14ac:dyDescent="0.3">
      <c r="D129" s="58"/>
      <c r="E129" s="58"/>
      <c r="F129" s="58"/>
      <c r="G129" s="161"/>
      <c r="H129" s="58"/>
      <c r="I129" s="58"/>
      <c r="L129" s="58"/>
      <c r="M129" s="58"/>
      <c r="N129" s="58"/>
      <c r="O129" s="58"/>
      <c r="P129" s="58"/>
    </row>
    <row r="130" spans="4:16" x14ac:dyDescent="0.3">
      <c r="D130" s="58"/>
      <c r="E130" s="58"/>
      <c r="F130" s="58"/>
      <c r="G130" s="161"/>
      <c r="H130" s="58"/>
      <c r="I130" s="58"/>
      <c r="L130" s="58"/>
      <c r="M130" s="58"/>
      <c r="N130" s="58"/>
      <c r="O130" s="58"/>
      <c r="P130" s="58"/>
    </row>
    <row r="131" spans="4:16" x14ac:dyDescent="0.3">
      <c r="D131" s="58"/>
      <c r="E131" s="58"/>
      <c r="F131" s="58"/>
      <c r="G131" s="161"/>
      <c r="H131" s="58"/>
      <c r="I131" s="58"/>
      <c r="L131" s="58"/>
      <c r="M131" s="58"/>
      <c r="N131" s="58"/>
      <c r="O131" s="58"/>
      <c r="P131" s="58"/>
    </row>
    <row r="132" spans="4:16" x14ac:dyDescent="0.3">
      <c r="D132" s="58"/>
      <c r="E132" s="58"/>
      <c r="F132" s="58"/>
      <c r="G132" s="161"/>
      <c r="H132" s="58"/>
      <c r="I132" s="58"/>
      <c r="L132" s="58"/>
      <c r="M132" s="58"/>
      <c r="N132" s="58"/>
      <c r="O132" s="58"/>
      <c r="P132" s="58"/>
    </row>
    <row r="133" spans="4:16" x14ac:dyDescent="0.3">
      <c r="D133" s="58"/>
      <c r="E133" s="58"/>
      <c r="F133" s="58"/>
      <c r="G133" s="161"/>
      <c r="H133" s="58"/>
      <c r="I133" s="58"/>
      <c r="L133" s="58"/>
      <c r="M133" s="58"/>
      <c r="N133" s="58"/>
      <c r="O133" s="58"/>
      <c r="P133" s="58"/>
    </row>
    <row r="134" spans="4:16" x14ac:dyDescent="0.3">
      <c r="D134" s="58"/>
      <c r="E134" s="58"/>
      <c r="F134" s="58"/>
      <c r="G134" s="161"/>
      <c r="H134" s="58"/>
      <c r="I134" s="58"/>
      <c r="L134" s="58"/>
      <c r="M134" s="58"/>
      <c r="N134" s="58"/>
      <c r="O134" s="58"/>
      <c r="P134" s="58"/>
    </row>
    <row r="135" spans="4:16" x14ac:dyDescent="0.3">
      <c r="D135" s="58"/>
      <c r="E135" s="58"/>
      <c r="F135" s="58"/>
      <c r="G135" s="161"/>
      <c r="H135" s="58"/>
      <c r="I135" s="58"/>
      <c r="L135" s="58"/>
      <c r="M135" s="58"/>
      <c r="N135" s="58"/>
      <c r="O135" s="58"/>
      <c r="P135" s="58"/>
    </row>
    <row r="136" spans="4:16" x14ac:dyDescent="0.3">
      <c r="D136" s="58"/>
      <c r="E136" s="58"/>
      <c r="F136" s="58"/>
      <c r="G136" s="161"/>
      <c r="H136" s="58"/>
      <c r="I136" s="58"/>
      <c r="L136" s="58"/>
      <c r="M136" s="58"/>
      <c r="N136" s="58"/>
      <c r="O136" s="58"/>
      <c r="P136" s="58"/>
    </row>
    <row r="137" spans="4:16" x14ac:dyDescent="0.3">
      <c r="D137" s="58"/>
      <c r="E137" s="58"/>
      <c r="F137" s="58"/>
      <c r="G137" s="161"/>
      <c r="H137" s="58"/>
      <c r="I137" s="58"/>
      <c r="L137" s="58"/>
      <c r="M137" s="58"/>
      <c r="N137" s="58"/>
      <c r="O137" s="58"/>
      <c r="P137" s="58"/>
    </row>
    <row r="138" spans="4:16" x14ac:dyDescent="0.3">
      <c r="D138" s="58"/>
      <c r="E138" s="58"/>
      <c r="F138" s="58"/>
      <c r="G138" s="161"/>
      <c r="H138" s="58"/>
      <c r="I138" s="58"/>
      <c r="L138" s="58"/>
      <c r="M138" s="58"/>
      <c r="N138" s="58"/>
      <c r="O138" s="58"/>
      <c r="P138" s="58"/>
    </row>
    <row r="139" spans="4:16" x14ac:dyDescent="0.3">
      <c r="D139" s="58"/>
      <c r="E139" s="58"/>
      <c r="F139" s="58"/>
      <c r="G139" s="161"/>
      <c r="H139" s="58"/>
      <c r="I139" s="58"/>
      <c r="L139" s="58"/>
      <c r="M139" s="58"/>
      <c r="N139" s="58"/>
      <c r="O139" s="58"/>
      <c r="P139" s="58"/>
    </row>
    <row r="140" spans="4:16" x14ac:dyDescent="0.3">
      <c r="D140" s="58"/>
      <c r="E140" s="58"/>
      <c r="F140" s="58"/>
      <c r="G140" s="161"/>
      <c r="H140" s="58"/>
      <c r="I140" s="58"/>
      <c r="L140" s="58"/>
      <c r="M140" s="58"/>
      <c r="N140" s="58"/>
      <c r="O140" s="58"/>
      <c r="P140" s="58"/>
    </row>
    <row r="141" spans="4:16" x14ac:dyDescent="0.3">
      <c r="D141" s="58"/>
      <c r="E141" s="58"/>
      <c r="F141" s="58"/>
      <c r="G141" s="161"/>
      <c r="H141" s="58"/>
      <c r="I141" s="58"/>
      <c r="L141" s="58"/>
      <c r="M141" s="58"/>
      <c r="N141" s="58"/>
      <c r="O141" s="58"/>
      <c r="P141" s="58"/>
    </row>
    <row r="142" spans="4:16" x14ac:dyDescent="0.3">
      <c r="D142" s="58"/>
      <c r="E142" s="58"/>
      <c r="F142" s="58"/>
      <c r="G142" s="161"/>
      <c r="H142" s="58"/>
      <c r="I142" s="58"/>
      <c r="L142" s="58"/>
      <c r="M142" s="58"/>
      <c r="N142" s="58"/>
      <c r="O142" s="58"/>
      <c r="P142" s="58"/>
    </row>
    <row r="143" spans="4:16" x14ac:dyDescent="0.3">
      <c r="D143" s="58"/>
      <c r="E143" s="58"/>
      <c r="F143" s="58"/>
      <c r="G143" s="161"/>
      <c r="H143" s="58"/>
      <c r="I143" s="58"/>
      <c r="L143" s="58"/>
      <c r="M143" s="58"/>
      <c r="N143" s="58"/>
      <c r="O143" s="58"/>
      <c r="P143" s="58"/>
    </row>
    <row r="144" spans="4:16" x14ac:dyDescent="0.3">
      <c r="D144" s="58"/>
      <c r="E144" s="58"/>
      <c r="F144" s="58"/>
      <c r="G144" s="161"/>
      <c r="H144" s="58"/>
      <c r="I144" s="58"/>
      <c r="L144" s="58"/>
      <c r="M144" s="58"/>
      <c r="N144" s="58"/>
      <c r="O144" s="58"/>
      <c r="P144" s="58"/>
    </row>
    <row r="145" spans="4:16" x14ac:dyDescent="0.3">
      <c r="D145" s="58"/>
      <c r="E145" s="58"/>
      <c r="F145" s="58"/>
      <c r="G145" s="161"/>
      <c r="H145" s="58"/>
      <c r="I145" s="58"/>
      <c r="L145" s="58"/>
      <c r="M145" s="58"/>
      <c r="N145" s="58"/>
      <c r="O145" s="58"/>
      <c r="P145" s="58"/>
    </row>
    <row r="146" spans="4:16" x14ac:dyDescent="0.3">
      <c r="D146" s="58"/>
      <c r="E146" s="58"/>
      <c r="F146" s="58"/>
      <c r="G146" s="161"/>
      <c r="H146" s="58"/>
      <c r="I146" s="58"/>
      <c r="L146" s="58"/>
      <c r="M146" s="58"/>
      <c r="N146" s="58"/>
      <c r="O146" s="58"/>
      <c r="P146" s="58"/>
    </row>
    <row r="147" spans="4:16" x14ac:dyDescent="0.3">
      <c r="D147" s="58"/>
      <c r="E147" s="58"/>
      <c r="F147" s="58"/>
      <c r="G147" s="161"/>
      <c r="H147" s="58"/>
      <c r="I147" s="58"/>
      <c r="L147" s="58"/>
      <c r="M147" s="58"/>
      <c r="N147" s="58"/>
      <c r="O147" s="58"/>
      <c r="P147" s="58"/>
    </row>
    <row r="148" spans="4:16" x14ac:dyDescent="0.3">
      <c r="D148" s="58"/>
      <c r="E148" s="58"/>
      <c r="F148" s="58"/>
      <c r="G148" s="161"/>
      <c r="H148" s="58"/>
      <c r="I148" s="58"/>
      <c r="L148" s="58"/>
      <c r="M148" s="58"/>
      <c r="N148" s="58"/>
      <c r="O148" s="58"/>
      <c r="P148" s="58"/>
    </row>
    <row r="149" spans="4:16" x14ac:dyDescent="0.3">
      <c r="D149" s="58"/>
      <c r="E149" s="58"/>
      <c r="F149" s="58"/>
      <c r="G149" s="161"/>
      <c r="H149" s="58"/>
      <c r="I149" s="58"/>
      <c r="L149" s="58"/>
      <c r="M149" s="58"/>
      <c r="N149" s="58"/>
      <c r="O149" s="58"/>
      <c r="P149" s="58"/>
    </row>
    <row r="150" spans="4:16" x14ac:dyDescent="0.3">
      <c r="D150" s="58"/>
      <c r="E150" s="58"/>
      <c r="F150" s="58"/>
      <c r="G150" s="161"/>
      <c r="H150" s="58"/>
      <c r="I150" s="58"/>
      <c r="L150" s="58"/>
      <c r="M150" s="58"/>
      <c r="N150" s="58"/>
      <c r="O150" s="58"/>
      <c r="P150" s="58"/>
    </row>
    <row r="151" spans="4:16" x14ac:dyDescent="0.3">
      <c r="D151" s="58"/>
      <c r="E151" s="58"/>
      <c r="F151" s="58"/>
      <c r="G151" s="161"/>
      <c r="H151" s="58"/>
      <c r="I151" s="58"/>
      <c r="L151" s="58"/>
      <c r="M151" s="58"/>
      <c r="N151" s="58"/>
      <c r="O151" s="58"/>
      <c r="P151" s="58"/>
    </row>
    <row r="152" spans="4:16" x14ac:dyDescent="0.3">
      <c r="D152" s="58"/>
      <c r="E152" s="58"/>
      <c r="F152" s="58"/>
      <c r="G152" s="161"/>
      <c r="H152" s="58"/>
      <c r="I152" s="58"/>
      <c r="L152" s="58"/>
      <c r="M152" s="58"/>
      <c r="N152" s="58"/>
      <c r="O152" s="58"/>
      <c r="P152" s="58"/>
    </row>
    <row r="153" spans="4:16" x14ac:dyDescent="0.3">
      <c r="D153" s="58"/>
      <c r="E153" s="58"/>
      <c r="F153" s="58"/>
      <c r="G153" s="161"/>
      <c r="H153" s="58"/>
      <c r="I153" s="58"/>
      <c r="L153" s="58"/>
      <c r="M153" s="58"/>
      <c r="N153" s="58"/>
      <c r="O153" s="58"/>
      <c r="P153" s="58"/>
    </row>
    <row r="154" spans="4:16" x14ac:dyDescent="0.3">
      <c r="D154" s="58"/>
      <c r="E154" s="58"/>
      <c r="F154" s="58"/>
      <c r="G154" s="161"/>
      <c r="H154" s="58"/>
      <c r="I154" s="58"/>
      <c r="L154" s="58"/>
      <c r="M154" s="58"/>
      <c r="N154" s="58"/>
      <c r="O154" s="58"/>
      <c r="P154" s="58"/>
    </row>
    <row r="155" spans="4:16" x14ac:dyDescent="0.3">
      <c r="D155" s="58"/>
      <c r="E155" s="58"/>
      <c r="F155" s="58"/>
      <c r="G155" s="161"/>
      <c r="H155" s="58"/>
      <c r="I155" s="58"/>
      <c r="L155" s="58"/>
      <c r="M155" s="58"/>
      <c r="N155" s="58"/>
      <c r="O155" s="58"/>
      <c r="P155" s="58"/>
    </row>
    <row r="156" spans="4:16" x14ac:dyDescent="0.3">
      <c r="D156" s="58"/>
      <c r="E156" s="58"/>
      <c r="F156" s="58"/>
      <c r="G156" s="161"/>
      <c r="H156" s="58"/>
      <c r="I156" s="58"/>
      <c r="L156" s="58"/>
      <c r="M156" s="58"/>
      <c r="N156" s="58"/>
      <c r="O156" s="58"/>
      <c r="P156" s="58"/>
    </row>
    <row r="157" spans="4:16" x14ac:dyDescent="0.3">
      <c r="D157" s="58"/>
      <c r="E157" s="58"/>
      <c r="F157" s="58"/>
      <c r="G157" s="161"/>
      <c r="H157" s="58"/>
      <c r="I157" s="58"/>
      <c r="L157" s="58"/>
      <c r="M157" s="58"/>
      <c r="N157" s="58"/>
      <c r="O157" s="58"/>
      <c r="P157" s="58"/>
    </row>
    <row r="158" spans="4:16" x14ac:dyDescent="0.3">
      <c r="D158" s="58"/>
      <c r="E158" s="58"/>
      <c r="F158" s="58"/>
      <c r="G158" s="161"/>
      <c r="H158" s="58"/>
      <c r="I158" s="58"/>
      <c r="L158" s="58"/>
      <c r="M158" s="58"/>
      <c r="N158" s="58"/>
      <c r="O158" s="58"/>
      <c r="P158" s="58"/>
    </row>
    <row r="159" spans="4:16" x14ac:dyDescent="0.3">
      <c r="D159" s="58"/>
      <c r="E159" s="58"/>
      <c r="F159" s="58"/>
      <c r="G159" s="161"/>
      <c r="H159" s="58"/>
      <c r="I159" s="58"/>
      <c r="L159" s="58"/>
      <c r="M159" s="58"/>
      <c r="N159" s="58"/>
      <c r="O159" s="58"/>
      <c r="P159" s="58"/>
    </row>
    <row r="160" spans="4:16" x14ac:dyDescent="0.3">
      <c r="D160" s="58"/>
      <c r="E160" s="58"/>
      <c r="F160" s="58"/>
      <c r="G160" s="161"/>
      <c r="H160" s="58"/>
      <c r="I160" s="58"/>
      <c r="L160" s="58"/>
      <c r="M160" s="58"/>
      <c r="N160" s="58"/>
      <c r="O160" s="58"/>
      <c r="P160" s="58"/>
    </row>
    <row r="161" spans="4:16" x14ac:dyDescent="0.3">
      <c r="D161" s="58"/>
      <c r="E161" s="58"/>
      <c r="F161" s="58"/>
      <c r="G161" s="161"/>
      <c r="H161" s="58"/>
      <c r="I161" s="58"/>
      <c r="L161" s="58"/>
      <c r="M161" s="58"/>
      <c r="N161" s="58"/>
      <c r="O161" s="58"/>
      <c r="P161" s="58"/>
    </row>
    <row r="162" spans="4:16" x14ac:dyDescent="0.3">
      <c r="D162" s="58"/>
      <c r="E162" s="58"/>
      <c r="F162" s="58"/>
      <c r="G162" s="161"/>
      <c r="H162" s="58"/>
      <c r="I162" s="58"/>
      <c r="L162" s="58"/>
      <c r="M162" s="58"/>
      <c r="N162" s="58"/>
      <c r="O162" s="58"/>
      <c r="P162" s="58"/>
    </row>
    <row r="163" spans="4:16" x14ac:dyDescent="0.3">
      <c r="D163" s="58"/>
      <c r="E163" s="58"/>
      <c r="F163" s="58"/>
      <c r="G163" s="161"/>
      <c r="H163" s="58"/>
      <c r="I163" s="58"/>
      <c r="L163" s="58"/>
      <c r="M163" s="58"/>
      <c r="N163" s="58"/>
      <c r="O163" s="58"/>
      <c r="P163" s="58"/>
    </row>
    <row r="164" spans="4:16" x14ac:dyDescent="0.3">
      <c r="D164" s="58"/>
      <c r="E164" s="58"/>
      <c r="F164" s="58"/>
      <c r="G164" s="161"/>
      <c r="H164" s="58"/>
      <c r="I164" s="58"/>
      <c r="L164" s="58"/>
      <c r="M164" s="58"/>
      <c r="N164" s="58"/>
      <c r="O164" s="58"/>
      <c r="P164" s="58"/>
    </row>
    <row r="165" spans="4:16" x14ac:dyDescent="0.3">
      <c r="D165" s="58"/>
      <c r="E165" s="58"/>
      <c r="F165" s="58"/>
      <c r="G165" s="161"/>
      <c r="H165" s="58"/>
      <c r="I165" s="58"/>
      <c r="L165" s="58"/>
      <c r="M165" s="58"/>
      <c r="N165" s="58"/>
      <c r="O165" s="58"/>
      <c r="P165" s="58"/>
    </row>
    <row r="166" spans="4:16" x14ac:dyDescent="0.3">
      <c r="D166" s="58"/>
      <c r="E166" s="58"/>
      <c r="F166" s="58"/>
      <c r="G166" s="161"/>
      <c r="H166" s="58"/>
      <c r="I166" s="58"/>
      <c r="L166" s="58"/>
      <c r="M166" s="58"/>
      <c r="N166" s="58"/>
      <c r="O166" s="58"/>
      <c r="P166" s="58"/>
    </row>
    <row r="167" spans="4:16" x14ac:dyDescent="0.3">
      <c r="D167" s="58"/>
      <c r="E167" s="58"/>
      <c r="F167" s="58"/>
      <c r="G167" s="161"/>
      <c r="H167" s="58"/>
      <c r="I167" s="58"/>
      <c r="L167" s="58"/>
      <c r="M167" s="58"/>
      <c r="N167" s="58"/>
      <c r="O167" s="58"/>
      <c r="P167" s="58"/>
    </row>
    <row r="168" spans="4:16" x14ac:dyDescent="0.3">
      <c r="D168" s="58"/>
      <c r="E168" s="58"/>
      <c r="F168" s="58"/>
      <c r="G168" s="161"/>
      <c r="H168" s="58"/>
      <c r="I168" s="58"/>
      <c r="L168" s="58"/>
      <c r="M168" s="58"/>
      <c r="N168" s="58"/>
      <c r="O168" s="58"/>
      <c r="P168" s="58"/>
    </row>
    <row r="169" spans="4:16" x14ac:dyDescent="0.3">
      <c r="D169" s="58"/>
      <c r="E169" s="58"/>
      <c r="F169" s="58"/>
      <c r="G169" s="161"/>
      <c r="H169" s="58"/>
      <c r="I169" s="58"/>
      <c r="L169" s="58"/>
      <c r="M169" s="58"/>
      <c r="N169" s="58"/>
      <c r="O169" s="58"/>
      <c r="P169" s="58"/>
    </row>
    <row r="170" spans="4:16" x14ac:dyDescent="0.3">
      <c r="D170" s="58"/>
      <c r="E170" s="58"/>
      <c r="F170" s="58"/>
      <c r="G170" s="161"/>
      <c r="H170" s="58"/>
      <c r="I170" s="58"/>
      <c r="L170" s="58"/>
      <c r="M170" s="58"/>
      <c r="N170" s="58"/>
      <c r="O170" s="58"/>
      <c r="P170" s="58"/>
    </row>
    <row r="171" spans="4:16" x14ac:dyDescent="0.3">
      <c r="D171" s="58"/>
      <c r="E171" s="58"/>
      <c r="F171" s="58"/>
      <c r="G171" s="161"/>
      <c r="H171" s="58"/>
      <c r="I171" s="58"/>
      <c r="L171" s="58"/>
      <c r="M171" s="58"/>
      <c r="N171" s="58"/>
      <c r="O171" s="58"/>
      <c r="P171" s="58"/>
    </row>
    <row r="172" spans="4:16" x14ac:dyDescent="0.3">
      <c r="D172" s="58"/>
      <c r="E172" s="58"/>
      <c r="F172" s="58"/>
      <c r="G172" s="161"/>
      <c r="H172" s="58"/>
      <c r="I172" s="58"/>
      <c r="L172" s="58"/>
      <c r="M172" s="58"/>
      <c r="N172" s="58"/>
      <c r="O172" s="58"/>
      <c r="P172" s="58"/>
    </row>
    <row r="173" spans="4:16" x14ac:dyDescent="0.3">
      <c r="D173" s="58"/>
      <c r="E173" s="58"/>
      <c r="F173" s="58"/>
      <c r="G173" s="161"/>
      <c r="H173" s="58"/>
      <c r="I173" s="58"/>
      <c r="L173" s="58"/>
      <c r="M173" s="58"/>
      <c r="N173" s="58"/>
      <c r="O173" s="58"/>
      <c r="P173" s="58"/>
    </row>
    <row r="174" spans="4:16" x14ac:dyDescent="0.3">
      <c r="D174" s="58"/>
      <c r="E174" s="58"/>
      <c r="F174" s="58"/>
      <c r="G174" s="161"/>
      <c r="H174" s="58"/>
      <c r="I174" s="58"/>
      <c r="L174" s="58"/>
      <c r="M174" s="58"/>
      <c r="N174" s="58"/>
      <c r="O174" s="58"/>
      <c r="P174" s="58"/>
    </row>
    <row r="175" spans="4:16" x14ac:dyDescent="0.3">
      <c r="D175" s="58"/>
      <c r="E175" s="58"/>
      <c r="F175" s="58"/>
      <c r="G175" s="161"/>
      <c r="H175" s="58"/>
      <c r="I175" s="58"/>
      <c r="L175" s="58"/>
      <c r="M175" s="58"/>
      <c r="N175" s="58"/>
      <c r="O175" s="58"/>
      <c r="P175" s="58"/>
    </row>
    <row r="176" spans="4:16" x14ac:dyDescent="0.3">
      <c r="D176" s="58"/>
      <c r="E176" s="58"/>
      <c r="F176" s="58"/>
      <c r="G176" s="161"/>
      <c r="H176" s="58"/>
      <c r="I176" s="58"/>
      <c r="L176" s="58"/>
      <c r="M176" s="58"/>
      <c r="N176" s="58"/>
      <c r="O176" s="58"/>
      <c r="P176" s="58"/>
    </row>
    <row r="177" spans="4:16" x14ac:dyDescent="0.3">
      <c r="D177" s="58"/>
      <c r="E177" s="58"/>
      <c r="F177" s="58"/>
      <c r="G177" s="161"/>
      <c r="H177" s="58"/>
      <c r="I177" s="58"/>
      <c r="L177" s="58"/>
      <c r="M177" s="58"/>
      <c r="N177" s="58"/>
      <c r="O177" s="58"/>
      <c r="P177" s="58"/>
    </row>
    <row r="178" spans="4:16" x14ac:dyDescent="0.3">
      <c r="D178" s="58"/>
      <c r="E178" s="58"/>
      <c r="F178" s="58"/>
      <c r="G178" s="161"/>
      <c r="H178" s="58"/>
      <c r="I178" s="58"/>
      <c r="L178" s="58"/>
      <c r="M178" s="58"/>
      <c r="N178" s="58"/>
      <c r="O178" s="58"/>
      <c r="P178" s="58"/>
    </row>
    <row r="179" spans="4:16" x14ac:dyDescent="0.3">
      <c r="D179" s="58"/>
      <c r="E179" s="58"/>
      <c r="F179" s="58"/>
      <c r="G179" s="161"/>
      <c r="H179" s="58"/>
      <c r="I179" s="58"/>
      <c r="L179" s="58"/>
      <c r="M179" s="58"/>
      <c r="N179" s="58"/>
      <c r="O179" s="58"/>
      <c r="P179" s="58"/>
    </row>
    <row r="180" spans="4:16" x14ac:dyDescent="0.3">
      <c r="D180" s="58"/>
      <c r="E180" s="58"/>
      <c r="F180" s="58"/>
      <c r="G180" s="161"/>
      <c r="H180" s="58"/>
      <c r="I180" s="58"/>
      <c r="L180" s="58"/>
      <c r="M180" s="58"/>
      <c r="N180" s="58"/>
      <c r="O180" s="58"/>
      <c r="P180" s="58"/>
    </row>
    <row r="181" spans="4:16" x14ac:dyDescent="0.3">
      <c r="D181" s="58"/>
      <c r="E181" s="58"/>
      <c r="F181" s="58"/>
      <c r="G181" s="161"/>
      <c r="H181" s="58"/>
      <c r="I181" s="58"/>
      <c r="L181" s="58"/>
      <c r="M181" s="58"/>
      <c r="N181" s="58"/>
      <c r="O181" s="58"/>
      <c r="P181" s="58"/>
    </row>
    <row r="182" spans="4:16" x14ac:dyDescent="0.3">
      <c r="D182" s="58"/>
      <c r="E182" s="58"/>
      <c r="F182" s="58"/>
      <c r="G182" s="161"/>
      <c r="H182" s="58"/>
      <c r="I182" s="58"/>
      <c r="L182" s="58"/>
      <c r="M182" s="58"/>
      <c r="N182" s="58"/>
      <c r="O182" s="58"/>
      <c r="P182" s="58"/>
    </row>
    <row r="183" spans="4:16" x14ac:dyDescent="0.3">
      <c r="D183" s="58"/>
      <c r="E183" s="58"/>
      <c r="F183" s="58"/>
      <c r="G183" s="161"/>
      <c r="H183" s="58"/>
      <c r="I183" s="58"/>
      <c r="L183" s="58"/>
      <c r="M183" s="58"/>
      <c r="N183" s="58"/>
      <c r="O183" s="58"/>
      <c r="P183" s="58"/>
    </row>
    <row r="184" spans="4:16" x14ac:dyDescent="0.3">
      <c r="D184" s="58"/>
      <c r="E184" s="58"/>
      <c r="F184" s="58"/>
      <c r="G184" s="161"/>
      <c r="H184" s="58"/>
      <c r="I184" s="58"/>
      <c r="L184" s="58"/>
      <c r="M184" s="58"/>
      <c r="N184" s="58"/>
      <c r="O184" s="58"/>
      <c r="P184" s="58"/>
    </row>
    <row r="185" spans="4:16" x14ac:dyDescent="0.3">
      <c r="D185" s="58"/>
      <c r="E185" s="58"/>
      <c r="F185" s="58"/>
      <c r="G185" s="161"/>
      <c r="H185" s="58"/>
      <c r="I185" s="58"/>
      <c r="L185" s="58"/>
      <c r="M185" s="58"/>
      <c r="N185" s="58"/>
      <c r="O185" s="58"/>
      <c r="P185" s="58"/>
    </row>
    <row r="186" spans="4:16" x14ac:dyDescent="0.3">
      <c r="D186" s="58"/>
      <c r="E186" s="58"/>
      <c r="F186" s="58"/>
      <c r="G186" s="161"/>
      <c r="H186" s="58"/>
      <c r="I186" s="58"/>
      <c r="L186" s="58"/>
      <c r="M186" s="58"/>
      <c r="N186" s="58"/>
      <c r="O186" s="58"/>
      <c r="P186" s="58"/>
    </row>
    <row r="187" spans="4:16" x14ac:dyDescent="0.3">
      <c r="D187" s="58"/>
      <c r="E187" s="58"/>
      <c r="F187" s="58"/>
      <c r="G187" s="161"/>
      <c r="H187" s="58"/>
      <c r="I187" s="58"/>
      <c r="L187" s="58"/>
      <c r="M187" s="58"/>
      <c r="N187" s="58"/>
      <c r="O187" s="58"/>
      <c r="P187" s="58"/>
    </row>
    <row r="188" spans="4:16" x14ac:dyDescent="0.3">
      <c r="D188" s="58"/>
      <c r="E188" s="58"/>
      <c r="F188" s="58"/>
      <c r="G188" s="161"/>
      <c r="H188" s="58"/>
      <c r="I188" s="58"/>
      <c r="L188" s="58"/>
      <c r="M188" s="58"/>
      <c r="N188" s="58"/>
      <c r="O188" s="58"/>
      <c r="P188" s="58"/>
    </row>
    <row r="189" spans="4:16" x14ac:dyDescent="0.3">
      <c r="D189" s="58"/>
      <c r="E189" s="58"/>
      <c r="F189" s="58"/>
      <c r="G189" s="161"/>
      <c r="H189" s="58"/>
      <c r="I189" s="58"/>
      <c r="L189" s="58"/>
      <c r="M189" s="58"/>
      <c r="N189" s="58"/>
      <c r="O189" s="58"/>
      <c r="P189" s="58"/>
    </row>
    <row r="190" spans="4:16" x14ac:dyDescent="0.3">
      <c r="D190" s="58"/>
      <c r="E190" s="58"/>
      <c r="F190" s="58"/>
      <c r="G190" s="161"/>
      <c r="H190" s="58"/>
      <c r="I190" s="58"/>
      <c r="L190" s="58"/>
      <c r="M190" s="58"/>
      <c r="N190" s="58"/>
      <c r="O190" s="58"/>
      <c r="P190" s="58"/>
    </row>
    <row r="191" spans="4:16" x14ac:dyDescent="0.3">
      <c r="D191" s="58"/>
      <c r="E191" s="58"/>
      <c r="F191" s="58"/>
      <c r="G191" s="161"/>
      <c r="H191" s="58"/>
      <c r="I191" s="58"/>
      <c r="L191" s="58"/>
      <c r="M191" s="58"/>
      <c r="N191" s="58"/>
      <c r="O191" s="58"/>
      <c r="P191" s="58"/>
    </row>
    <row r="192" spans="4:16" x14ac:dyDescent="0.3">
      <c r="D192" s="58"/>
      <c r="E192" s="58"/>
      <c r="F192" s="58"/>
      <c r="G192" s="161"/>
      <c r="H192" s="58"/>
      <c r="I192" s="58"/>
      <c r="L192" s="58"/>
      <c r="M192" s="58"/>
      <c r="N192" s="58"/>
      <c r="O192" s="58"/>
      <c r="P192" s="58"/>
    </row>
    <row r="193" spans="4:16" x14ac:dyDescent="0.3">
      <c r="D193" s="58"/>
      <c r="E193" s="58"/>
      <c r="F193" s="58"/>
      <c r="G193" s="161"/>
      <c r="H193" s="58"/>
      <c r="I193" s="58"/>
      <c r="L193" s="58"/>
      <c r="M193" s="58"/>
      <c r="N193" s="58"/>
      <c r="O193" s="58"/>
      <c r="P193" s="58"/>
    </row>
    <row r="194" spans="4:16" x14ac:dyDescent="0.3">
      <c r="D194" s="58"/>
      <c r="E194" s="58"/>
      <c r="F194" s="58"/>
      <c r="G194" s="161"/>
      <c r="H194" s="58"/>
      <c r="I194" s="58"/>
      <c r="L194" s="58"/>
      <c r="M194" s="58"/>
      <c r="N194" s="58"/>
      <c r="O194" s="58"/>
      <c r="P194" s="58"/>
    </row>
    <row r="195" spans="4:16" x14ac:dyDescent="0.3">
      <c r="D195" s="58"/>
      <c r="E195" s="58"/>
      <c r="F195" s="58"/>
      <c r="G195" s="161"/>
      <c r="H195" s="58"/>
      <c r="I195" s="58"/>
      <c r="L195" s="58"/>
      <c r="M195" s="58"/>
      <c r="N195" s="58"/>
      <c r="O195" s="58"/>
      <c r="P195" s="58"/>
    </row>
    <row r="196" spans="4:16" x14ac:dyDescent="0.3">
      <c r="D196" s="58"/>
      <c r="E196" s="58"/>
      <c r="F196" s="58"/>
      <c r="G196" s="161"/>
      <c r="H196" s="58"/>
      <c r="I196" s="58"/>
      <c r="L196" s="58"/>
      <c r="M196" s="58"/>
      <c r="N196" s="58"/>
      <c r="O196" s="58"/>
      <c r="P196" s="58"/>
    </row>
    <row r="197" spans="4:16" x14ac:dyDescent="0.3">
      <c r="D197" s="58"/>
      <c r="E197" s="58"/>
      <c r="F197" s="58"/>
      <c r="G197" s="161"/>
      <c r="H197" s="58"/>
      <c r="I197" s="58"/>
      <c r="L197" s="58"/>
      <c r="M197" s="58"/>
      <c r="N197" s="58"/>
      <c r="O197" s="58"/>
      <c r="P197" s="58"/>
    </row>
    <row r="198" spans="4:16" x14ac:dyDescent="0.3">
      <c r="D198" s="58"/>
      <c r="E198" s="58"/>
      <c r="F198" s="58"/>
      <c r="G198" s="161"/>
      <c r="H198" s="58"/>
      <c r="I198" s="58"/>
      <c r="L198" s="58"/>
      <c r="M198" s="58"/>
      <c r="N198" s="58"/>
      <c r="O198" s="58"/>
      <c r="P198" s="58"/>
    </row>
    <row r="199" spans="4:16" x14ac:dyDescent="0.3">
      <c r="D199" s="58"/>
      <c r="E199" s="58"/>
      <c r="F199" s="58"/>
      <c r="G199" s="161"/>
      <c r="H199" s="58"/>
      <c r="I199" s="58"/>
      <c r="L199" s="58"/>
      <c r="M199" s="58"/>
      <c r="N199" s="58"/>
      <c r="O199" s="58"/>
      <c r="P199" s="58"/>
    </row>
    <row r="200" spans="4:16" x14ac:dyDescent="0.3">
      <c r="D200" s="58"/>
      <c r="E200" s="58"/>
      <c r="F200" s="58"/>
      <c r="G200" s="161"/>
      <c r="H200" s="58"/>
      <c r="I200" s="58"/>
      <c r="L200" s="58"/>
      <c r="M200" s="58"/>
      <c r="N200" s="58"/>
      <c r="O200" s="58"/>
      <c r="P200" s="58"/>
    </row>
    <row r="201" spans="4:16" x14ac:dyDescent="0.3">
      <c r="D201" s="58"/>
      <c r="E201" s="58"/>
      <c r="F201" s="58"/>
      <c r="G201" s="161"/>
      <c r="H201" s="58"/>
      <c r="I201" s="58"/>
      <c r="L201" s="58"/>
      <c r="M201" s="58"/>
      <c r="N201" s="58"/>
      <c r="O201" s="58"/>
      <c r="P201" s="58"/>
    </row>
    <row r="202" spans="4:16" x14ac:dyDescent="0.3">
      <c r="D202" s="58"/>
      <c r="E202" s="58"/>
      <c r="F202" s="58"/>
      <c r="G202" s="161"/>
      <c r="H202" s="58"/>
      <c r="I202" s="58"/>
      <c r="L202" s="58"/>
      <c r="M202" s="58"/>
      <c r="N202" s="58"/>
      <c r="O202" s="58"/>
      <c r="P202" s="58"/>
    </row>
    <row r="203" spans="4:16" x14ac:dyDescent="0.3">
      <c r="D203" s="58"/>
      <c r="E203" s="58"/>
      <c r="F203" s="58"/>
      <c r="G203" s="161"/>
      <c r="H203" s="58"/>
      <c r="I203" s="58"/>
      <c r="L203" s="58"/>
      <c r="M203" s="58"/>
      <c r="N203" s="58"/>
      <c r="O203" s="58"/>
      <c r="P203" s="58"/>
    </row>
    <row r="204" spans="4:16" x14ac:dyDescent="0.3">
      <c r="D204" s="58"/>
      <c r="E204" s="58"/>
      <c r="F204" s="58"/>
      <c r="G204" s="161"/>
      <c r="H204" s="58"/>
      <c r="I204" s="58"/>
      <c r="L204" s="58"/>
      <c r="M204" s="58"/>
      <c r="N204" s="58"/>
      <c r="O204" s="58"/>
      <c r="P204" s="58"/>
    </row>
    <row r="205" spans="4:16" x14ac:dyDescent="0.3">
      <c r="D205" s="58"/>
      <c r="E205" s="58"/>
      <c r="F205" s="58"/>
      <c r="G205" s="161"/>
      <c r="H205" s="58"/>
      <c r="I205" s="58"/>
      <c r="L205" s="58"/>
      <c r="M205" s="58"/>
      <c r="N205" s="58"/>
      <c r="O205" s="58"/>
      <c r="P205" s="58"/>
    </row>
    <row r="206" spans="4:16" x14ac:dyDescent="0.3">
      <c r="D206" s="58"/>
      <c r="E206" s="58"/>
      <c r="F206" s="58"/>
      <c r="G206" s="161"/>
      <c r="H206" s="58"/>
      <c r="I206" s="58"/>
      <c r="L206" s="58"/>
      <c r="M206" s="58"/>
      <c r="N206" s="58"/>
      <c r="O206" s="58"/>
      <c r="P206" s="58"/>
    </row>
    <row r="207" spans="4:16" x14ac:dyDescent="0.3">
      <c r="D207" s="58"/>
      <c r="E207" s="58"/>
      <c r="F207" s="58"/>
      <c r="G207" s="161"/>
      <c r="H207" s="58"/>
      <c r="I207" s="58"/>
      <c r="L207" s="58"/>
      <c r="M207" s="58"/>
      <c r="N207" s="58"/>
      <c r="O207" s="58"/>
      <c r="P207" s="58"/>
    </row>
    <row r="208" spans="4:16" x14ac:dyDescent="0.3">
      <c r="D208" s="58"/>
      <c r="E208" s="58"/>
      <c r="F208" s="58"/>
      <c r="G208" s="161"/>
      <c r="H208" s="58"/>
      <c r="I208" s="58"/>
      <c r="L208" s="58"/>
      <c r="M208" s="58"/>
      <c r="N208" s="58"/>
      <c r="O208" s="58"/>
      <c r="P208" s="58"/>
    </row>
    <row r="209" spans="4:16" x14ac:dyDescent="0.3">
      <c r="D209" s="58"/>
      <c r="E209" s="58"/>
      <c r="F209" s="58"/>
      <c r="G209" s="161"/>
      <c r="H209" s="58"/>
      <c r="I209" s="58"/>
      <c r="L209" s="58"/>
      <c r="M209" s="58"/>
      <c r="N209" s="58"/>
      <c r="O209" s="58"/>
      <c r="P209" s="58"/>
    </row>
    <row r="210" spans="4:16" x14ac:dyDescent="0.3">
      <c r="D210" s="58"/>
      <c r="E210" s="58"/>
      <c r="F210" s="58"/>
      <c r="G210" s="161"/>
      <c r="H210" s="58"/>
      <c r="I210" s="58"/>
      <c r="L210" s="58"/>
      <c r="M210" s="58"/>
      <c r="N210" s="58"/>
      <c r="O210" s="58"/>
      <c r="P210" s="58"/>
    </row>
    <row r="211" spans="4:16" x14ac:dyDescent="0.3">
      <c r="D211" s="58"/>
      <c r="E211" s="58"/>
      <c r="F211" s="58"/>
      <c r="G211" s="161"/>
      <c r="H211" s="58"/>
      <c r="I211" s="58"/>
      <c r="L211" s="58"/>
      <c r="M211" s="58"/>
      <c r="N211" s="58"/>
      <c r="O211" s="58"/>
      <c r="P211" s="58"/>
    </row>
    <row r="212" spans="4:16" x14ac:dyDescent="0.3">
      <c r="D212" s="58"/>
      <c r="E212" s="58"/>
      <c r="F212" s="58"/>
      <c r="G212" s="161"/>
      <c r="H212" s="58"/>
      <c r="I212" s="58"/>
      <c r="L212" s="58"/>
      <c r="M212" s="58"/>
      <c r="N212" s="58"/>
      <c r="O212" s="58"/>
      <c r="P212" s="58"/>
    </row>
    <row r="213" spans="4:16" x14ac:dyDescent="0.3">
      <c r="D213" s="58"/>
      <c r="E213" s="58"/>
      <c r="F213" s="58"/>
      <c r="G213" s="161"/>
      <c r="H213" s="58"/>
      <c r="I213" s="58"/>
      <c r="L213" s="58"/>
      <c r="M213" s="58"/>
      <c r="N213" s="58"/>
      <c r="O213" s="58"/>
      <c r="P213" s="58"/>
    </row>
    <row r="214" spans="4:16" x14ac:dyDescent="0.3">
      <c r="D214" s="58"/>
      <c r="E214" s="58"/>
      <c r="F214" s="58"/>
      <c r="G214" s="161"/>
      <c r="H214" s="58"/>
      <c r="I214" s="58"/>
      <c r="L214" s="58"/>
      <c r="M214" s="58"/>
      <c r="N214" s="58"/>
      <c r="O214" s="58"/>
      <c r="P214" s="58"/>
    </row>
    <row r="215" spans="4:16" x14ac:dyDescent="0.3">
      <c r="D215" s="58"/>
      <c r="E215" s="58"/>
      <c r="F215" s="58"/>
      <c r="G215" s="161"/>
      <c r="H215" s="58"/>
      <c r="I215" s="58"/>
      <c r="L215" s="58"/>
      <c r="M215" s="58"/>
      <c r="N215" s="58"/>
      <c r="O215" s="58"/>
      <c r="P215" s="58"/>
    </row>
    <row r="216" spans="4:16" x14ac:dyDescent="0.3">
      <c r="D216" s="58"/>
      <c r="E216" s="58"/>
      <c r="F216" s="58"/>
      <c r="G216" s="161"/>
      <c r="H216" s="58"/>
      <c r="I216" s="58"/>
      <c r="L216" s="58"/>
      <c r="M216" s="58"/>
      <c r="N216" s="58"/>
      <c r="O216" s="58"/>
      <c r="P216" s="58"/>
    </row>
    <row r="217" spans="4:16" x14ac:dyDescent="0.3">
      <c r="D217" s="58"/>
      <c r="E217" s="58"/>
      <c r="F217" s="58"/>
      <c r="G217" s="161"/>
      <c r="H217" s="58"/>
      <c r="I217" s="58"/>
      <c r="L217" s="58"/>
      <c r="M217" s="58"/>
      <c r="N217" s="58"/>
      <c r="O217" s="58"/>
      <c r="P217" s="58"/>
    </row>
    <row r="218" spans="4:16" x14ac:dyDescent="0.3">
      <c r="D218" s="58"/>
      <c r="E218" s="58"/>
      <c r="F218" s="58"/>
      <c r="G218" s="161"/>
      <c r="H218" s="58"/>
      <c r="I218" s="58"/>
      <c r="L218" s="58"/>
      <c r="M218" s="58"/>
      <c r="N218" s="58"/>
      <c r="O218" s="58"/>
      <c r="P218" s="58"/>
    </row>
    <row r="219" spans="4:16" x14ac:dyDescent="0.3">
      <c r="D219" s="58"/>
      <c r="E219" s="58"/>
      <c r="F219" s="58"/>
      <c r="G219" s="161"/>
      <c r="H219" s="58"/>
      <c r="I219" s="58"/>
      <c r="L219" s="58"/>
      <c r="M219" s="58"/>
      <c r="N219" s="58"/>
      <c r="O219" s="58"/>
      <c r="P219" s="58"/>
    </row>
    <row r="220" spans="4:16" x14ac:dyDescent="0.3">
      <c r="D220" s="58"/>
      <c r="E220" s="58"/>
      <c r="F220" s="58"/>
      <c r="G220" s="161"/>
      <c r="H220" s="58"/>
      <c r="I220" s="58"/>
      <c r="L220" s="58"/>
      <c r="M220" s="58"/>
      <c r="N220" s="58"/>
      <c r="O220" s="58"/>
      <c r="P220" s="58"/>
    </row>
    <row r="221" spans="4:16" x14ac:dyDescent="0.3">
      <c r="D221" s="58"/>
      <c r="E221" s="58"/>
      <c r="F221" s="58"/>
      <c r="G221" s="161"/>
      <c r="H221" s="58"/>
      <c r="I221" s="58"/>
      <c r="L221" s="58"/>
      <c r="M221" s="58"/>
      <c r="N221" s="58"/>
      <c r="O221" s="58"/>
      <c r="P221" s="58"/>
    </row>
    <row r="222" spans="4:16" x14ac:dyDescent="0.3">
      <c r="D222" s="58"/>
      <c r="E222" s="58"/>
      <c r="F222" s="58"/>
      <c r="G222" s="161"/>
      <c r="H222" s="58"/>
      <c r="I222" s="58"/>
      <c r="L222" s="58"/>
      <c r="M222" s="58"/>
      <c r="N222" s="58"/>
      <c r="O222" s="58"/>
      <c r="P222" s="58"/>
    </row>
    <row r="223" spans="4:16" x14ac:dyDescent="0.3">
      <c r="D223" s="58"/>
      <c r="E223" s="58"/>
      <c r="F223" s="58"/>
      <c r="G223" s="161"/>
      <c r="H223" s="58"/>
      <c r="I223" s="58"/>
      <c r="L223" s="58"/>
      <c r="M223" s="58"/>
      <c r="N223" s="58"/>
      <c r="O223" s="58"/>
      <c r="P223" s="58"/>
    </row>
    <row r="224" spans="4:16" x14ac:dyDescent="0.3">
      <c r="D224" s="58"/>
      <c r="E224" s="58"/>
      <c r="F224" s="58"/>
      <c r="G224" s="161"/>
      <c r="H224" s="58"/>
      <c r="I224" s="58"/>
      <c r="L224" s="58"/>
      <c r="M224" s="58"/>
      <c r="N224" s="58"/>
      <c r="O224" s="58"/>
      <c r="P224" s="58"/>
    </row>
    <row r="225" spans="4:16" x14ac:dyDescent="0.3">
      <c r="D225" s="58"/>
      <c r="E225" s="58"/>
      <c r="F225" s="58"/>
      <c r="G225" s="161"/>
      <c r="H225" s="58"/>
      <c r="I225" s="58"/>
      <c r="L225" s="58"/>
      <c r="M225" s="58"/>
      <c r="N225" s="58"/>
      <c r="O225" s="58"/>
      <c r="P225" s="58"/>
    </row>
    <row r="226" spans="4:16" x14ac:dyDescent="0.3">
      <c r="D226" s="58"/>
      <c r="E226" s="58"/>
      <c r="F226" s="58"/>
      <c r="G226" s="161"/>
      <c r="H226" s="58"/>
      <c r="I226" s="58"/>
      <c r="L226" s="58"/>
      <c r="M226" s="58"/>
      <c r="N226" s="58"/>
      <c r="O226" s="58"/>
      <c r="P226" s="58"/>
    </row>
    <row r="227" spans="4:16" x14ac:dyDescent="0.3">
      <c r="D227" s="58"/>
      <c r="E227" s="58"/>
      <c r="F227" s="58"/>
      <c r="G227" s="161"/>
      <c r="H227" s="58"/>
      <c r="I227" s="58"/>
      <c r="L227" s="58"/>
      <c r="M227" s="58"/>
      <c r="N227" s="58"/>
      <c r="O227" s="58"/>
      <c r="P227" s="58"/>
    </row>
    <row r="228" spans="4:16" x14ac:dyDescent="0.3">
      <c r="D228" s="58"/>
      <c r="E228" s="58"/>
      <c r="F228" s="58"/>
      <c r="G228" s="161"/>
      <c r="H228" s="58"/>
      <c r="I228" s="58"/>
      <c r="L228" s="58"/>
      <c r="M228" s="58"/>
      <c r="N228" s="58"/>
      <c r="O228" s="58"/>
      <c r="P228" s="58"/>
    </row>
    <row r="229" spans="4:16" x14ac:dyDescent="0.3">
      <c r="D229" s="58"/>
      <c r="E229" s="58"/>
      <c r="F229" s="58"/>
      <c r="G229" s="161"/>
      <c r="H229" s="58"/>
      <c r="I229" s="58"/>
      <c r="L229" s="58"/>
      <c r="M229" s="58"/>
      <c r="N229" s="58"/>
      <c r="O229" s="58"/>
      <c r="P229" s="58"/>
    </row>
  </sheetData>
  <autoFilter ref="A3:Y229" xr:uid="{3F071A9F-7D8C-482A-A1BF-2CC6DF555297}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B280C-616F-4435-A8AA-F5AC6625BA32}">
  <dimension ref="A3:D105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30" sqref="H30"/>
    </sheetView>
  </sheetViews>
  <sheetFormatPr defaultColWidth="9.109375" defaultRowHeight="15.6" x14ac:dyDescent="0.3"/>
  <cols>
    <col min="1" max="1" width="9.33203125" style="71" bestFit="1" customWidth="1"/>
    <col min="2" max="2" width="47" style="71" customWidth="1"/>
    <col min="3" max="3" width="58.44140625" style="71" bestFit="1" customWidth="1"/>
    <col min="4" max="4" width="15.88671875" style="72" bestFit="1" customWidth="1"/>
    <col min="5" max="16384" width="9.109375" style="71"/>
  </cols>
  <sheetData>
    <row r="3" spans="1:4" x14ac:dyDescent="0.3">
      <c r="A3" s="69" t="s">
        <v>109</v>
      </c>
      <c r="B3" s="69" t="s">
        <v>0</v>
      </c>
      <c r="C3" s="69" t="s">
        <v>0</v>
      </c>
      <c r="D3" s="70" t="s">
        <v>102</v>
      </c>
    </row>
    <row r="4" spans="1:4" x14ac:dyDescent="0.3">
      <c r="A4" s="71">
        <v>2019</v>
      </c>
      <c r="B4" s="71" t="s">
        <v>1</v>
      </c>
      <c r="C4" s="71" t="s">
        <v>2</v>
      </c>
      <c r="D4" s="72">
        <v>157093809.54692432</v>
      </c>
    </row>
    <row r="5" spans="1:4" x14ac:dyDescent="0.3">
      <c r="A5" s="71">
        <v>2019</v>
      </c>
      <c r="B5" s="71" t="s">
        <v>3</v>
      </c>
      <c r="C5" s="71" t="s">
        <v>4</v>
      </c>
      <c r="D5" s="72">
        <v>13432444</v>
      </c>
    </row>
    <row r="6" spans="1:4" x14ac:dyDescent="0.3">
      <c r="A6" s="71">
        <v>2019</v>
      </c>
      <c r="B6" s="71" t="s">
        <v>193</v>
      </c>
      <c r="C6" s="71" t="s">
        <v>194</v>
      </c>
      <c r="D6" s="72">
        <v>143460.56021036324</v>
      </c>
    </row>
    <row r="7" spans="1:4" x14ac:dyDescent="0.3">
      <c r="A7" s="71">
        <v>2019</v>
      </c>
      <c r="B7" s="71" t="s">
        <v>235</v>
      </c>
      <c r="C7" s="71" t="s">
        <v>158</v>
      </c>
      <c r="D7" s="72">
        <v>307580.76636363612</v>
      </c>
    </row>
    <row r="8" spans="1:4" x14ac:dyDescent="0.3">
      <c r="A8" s="71">
        <v>2019</v>
      </c>
      <c r="B8" s="71" t="s">
        <v>236</v>
      </c>
      <c r="C8" s="71" t="s">
        <v>195</v>
      </c>
      <c r="D8" s="72">
        <v>27033841.327179756</v>
      </c>
    </row>
    <row r="9" spans="1:4" x14ac:dyDescent="0.3">
      <c r="A9" s="71">
        <v>2019</v>
      </c>
      <c r="B9" s="71" t="s">
        <v>237</v>
      </c>
      <c r="C9" s="71" t="s">
        <v>159</v>
      </c>
      <c r="D9" s="72">
        <v>197373.45</v>
      </c>
    </row>
    <row r="10" spans="1:4" x14ac:dyDescent="0.3">
      <c r="A10" s="71">
        <v>2019</v>
      </c>
      <c r="B10" s="71" t="s">
        <v>238</v>
      </c>
      <c r="C10" s="71" t="s">
        <v>196</v>
      </c>
      <c r="D10" s="72">
        <v>195396.25</v>
      </c>
    </row>
    <row r="11" spans="1:4" x14ac:dyDescent="0.3">
      <c r="A11" s="71">
        <v>2019</v>
      </c>
      <c r="B11" s="71" t="s">
        <v>132</v>
      </c>
      <c r="C11" s="71" t="s">
        <v>6</v>
      </c>
      <c r="D11" s="72">
        <v>198403905.9006781</v>
      </c>
    </row>
    <row r="12" spans="1:4" x14ac:dyDescent="0.3">
      <c r="A12" s="71">
        <v>2019</v>
      </c>
      <c r="B12" s="71" t="s">
        <v>239</v>
      </c>
      <c r="C12" s="71" t="s">
        <v>160</v>
      </c>
      <c r="D12" s="72">
        <v>45992535.542492926</v>
      </c>
    </row>
    <row r="13" spans="1:4" x14ac:dyDescent="0.3">
      <c r="A13" s="71">
        <v>2019</v>
      </c>
      <c r="B13" s="71" t="s">
        <v>7</v>
      </c>
      <c r="C13" s="71" t="s">
        <v>161</v>
      </c>
      <c r="D13" s="72">
        <v>34018157.882699974</v>
      </c>
    </row>
    <row r="14" spans="1:4" x14ac:dyDescent="0.3">
      <c r="A14" s="71">
        <v>2019</v>
      </c>
      <c r="B14" s="71" t="s">
        <v>240</v>
      </c>
      <c r="C14" s="71" t="s">
        <v>162</v>
      </c>
      <c r="D14" s="72">
        <v>2389649.9115479453</v>
      </c>
    </row>
    <row r="15" spans="1:4" x14ac:dyDescent="0.3">
      <c r="A15" s="71">
        <v>2019</v>
      </c>
      <c r="B15" s="71" t="s">
        <v>241</v>
      </c>
      <c r="C15" s="71" t="s">
        <v>163</v>
      </c>
      <c r="D15" s="72">
        <v>1496725.5565500001</v>
      </c>
    </row>
    <row r="16" spans="1:4" x14ac:dyDescent="0.3">
      <c r="A16" s="71">
        <v>2019</v>
      </c>
      <c r="B16" s="71" t="s">
        <v>242</v>
      </c>
      <c r="C16" s="71" t="s">
        <v>164</v>
      </c>
      <c r="D16" s="72">
        <v>9849170.4968970008</v>
      </c>
    </row>
    <row r="17" spans="1:4" x14ac:dyDescent="0.3">
      <c r="A17" s="71">
        <v>2019</v>
      </c>
      <c r="B17" s="71" t="s">
        <v>165</v>
      </c>
      <c r="C17" s="71" t="s">
        <v>166</v>
      </c>
      <c r="D17" s="72">
        <v>6873002.5300000003</v>
      </c>
    </row>
    <row r="18" spans="1:4" x14ac:dyDescent="0.3">
      <c r="A18" s="71">
        <v>2019</v>
      </c>
      <c r="B18" s="71" t="s">
        <v>133</v>
      </c>
      <c r="C18" s="71" t="s">
        <v>9</v>
      </c>
      <c r="D18" s="72">
        <v>100619241.92018783</v>
      </c>
    </row>
    <row r="19" spans="1:4" x14ac:dyDescent="0.3">
      <c r="A19" s="71">
        <v>2019</v>
      </c>
      <c r="B19" s="71" t="s">
        <v>143</v>
      </c>
      <c r="C19" s="71" t="s">
        <v>243</v>
      </c>
      <c r="D19" s="72">
        <v>299023147.82086593</v>
      </c>
    </row>
    <row r="20" spans="1:4" x14ac:dyDescent="0.3">
      <c r="A20" s="71">
        <v>2019</v>
      </c>
      <c r="B20" s="71" t="s">
        <v>12</v>
      </c>
      <c r="C20" s="71" t="s">
        <v>13</v>
      </c>
      <c r="D20" s="72">
        <v>26412209.943440005</v>
      </c>
    </row>
    <row r="21" spans="1:4" x14ac:dyDescent="0.3">
      <c r="A21" s="71">
        <v>2019</v>
      </c>
      <c r="B21" s="71" t="s">
        <v>197</v>
      </c>
      <c r="C21" s="71" t="s">
        <v>14</v>
      </c>
      <c r="D21" s="72">
        <v>2182283.2899999991</v>
      </c>
    </row>
    <row r="22" spans="1:4" x14ac:dyDescent="0.3">
      <c r="A22" s="71">
        <v>2019</v>
      </c>
      <c r="B22" s="71" t="s">
        <v>15</v>
      </c>
      <c r="C22" s="71" t="s">
        <v>167</v>
      </c>
      <c r="D22" s="72">
        <v>60489520.997961394</v>
      </c>
    </row>
    <row r="23" spans="1:4" x14ac:dyDescent="0.3">
      <c r="A23" s="71">
        <v>2019</v>
      </c>
      <c r="B23" s="71" t="s">
        <v>16</v>
      </c>
      <c r="C23" s="71" t="s">
        <v>17</v>
      </c>
      <c r="D23" s="72">
        <v>49570020.627917819</v>
      </c>
    </row>
    <row r="24" spans="1:4" x14ac:dyDescent="0.3">
      <c r="A24" s="71">
        <v>2019</v>
      </c>
      <c r="B24" s="71" t="s">
        <v>198</v>
      </c>
      <c r="C24" s="71" t="s">
        <v>199</v>
      </c>
      <c r="D24" s="72">
        <v>138654034.85931921</v>
      </c>
    </row>
    <row r="25" spans="1:4" x14ac:dyDescent="0.3">
      <c r="A25" s="71">
        <v>2019</v>
      </c>
      <c r="B25" s="71" t="s">
        <v>200</v>
      </c>
      <c r="C25" s="71" t="s">
        <v>201</v>
      </c>
      <c r="D25" s="72">
        <v>907104.5727180551</v>
      </c>
    </row>
    <row r="26" spans="1:4" x14ac:dyDescent="0.3">
      <c r="A26" s="71">
        <v>2019</v>
      </c>
      <c r="B26" s="71" t="s">
        <v>134</v>
      </c>
      <c r="C26" s="71" t="s">
        <v>202</v>
      </c>
      <c r="D26" s="72">
        <v>139561139.43203726</v>
      </c>
    </row>
    <row r="27" spans="1:4" x14ac:dyDescent="0.3">
      <c r="A27" s="71">
        <v>2019</v>
      </c>
      <c r="B27" s="71" t="s">
        <v>244</v>
      </c>
      <c r="C27" s="71" t="s">
        <v>203</v>
      </c>
      <c r="D27" s="72">
        <v>248808.238247</v>
      </c>
    </row>
    <row r="28" spans="1:4" x14ac:dyDescent="0.3">
      <c r="A28" s="71">
        <v>2019</v>
      </c>
      <c r="B28" s="71" t="s">
        <v>204</v>
      </c>
      <c r="C28" s="71" t="s">
        <v>20</v>
      </c>
      <c r="D28" s="72">
        <v>8364029</v>
      </c>
    </row>
    <row r="29" spans="1:4" x14ac:dyDescent="0.3">
      <c r="A29" s="71">
        <v>2019</v>
      </c>
      <c r="B29" s="71" t="s">
        <v>168</v>
      </c>
      <c r="C29" s="71" t="s">
        <v>169</v>
      </c>
      <c r="D29" s="72">
        <v>23513246.189999998</v>
      </c>
    </row>
    <row r="30" spans="1:4" x14ac:dyDescent="0.3">
      <c r="A30" s="71">
        <v>2019</v>
      </c>
      <c r="B30" s="71" t="s">
        <v>245</v>
      </c>
      <c r="C30" s="71" t="s">
        <v>170</v>
      </c>
      <c r="D30" s="72">
        <v>23506687.48</v>
      </c>
    </row>
    <row r="31" spans="1:4" x14ac:dyDescent="0.3">
      <c r="A31" s="71">
        <v>2019</v>
      </c>
      <c r="B31" s="71" t="s">
        <v>144</v>
      </c>
      <c r="C31" s="71" t="s">
        <v>22</v>
      </c>
      <c r="D31" s="72">
        <v>55632770.908246994</v>
      </c>
    </row>
    <row r="32" spans="1:4" x14ac:dyDescent="0.3">
      <c r="A32" s="71">
        <v>2019</v>
      </c>
      <c r="B32" s="71" t="s">
        <v>171</v>
      </c>
      <c r="C32" s="71" t="s">
        <v>205</v>
      </c>
      <c r="D32" s="72">
        <v>35232435.053994887</v>
      </c>
    </row>
    <row r="33" spans="1:4" x14ac:dyDescent="0.3">
      <c r="A33" s="71">
        <v>2019</v>
      </c>
      <c r="B33" s="71" t="s">
        <v>172</v>
      </c>
      <c r="C33" s="71" t="s">
        <v>173</v>
      </c>
      <c r="D33" s="72">
        <v>60426062.469999999</v>
      </c>
    </row>
    <row r="34" spans="1:4" x14ac:dyDescent="0.3">
      <c r="A34" s="71">
        <v>2019</v>
      </c>
      <c r="B34" s="71" t="s">
        <v>174</v>
      </c>
      <c r="C34" s="71" t="s">
        <v>175</v>
      </c>
      <c r="D34" s="72">
        <v>8170739.7774229459</v>
      </c>
    </row>
    <row r="35" spans="1:4" x14ac:dyDescent="0.3">
      <c r="A35" s="71">
        <v>2019</v>
      </c>
      <c r="B35" s="71" t="s">
        <v>145</v>
      </c>
      <c r="C35" s="71" t="s">
        <v>24</v>
      </c>
      <c r="D35" s="72">
        <v>103829237.30141784</v>
      </c>
    </row>
    <row r="36" spans="1:4" x14ac:dyDescent="0.3">
      <c r="A36" s="71">
        <v>2019</v>
      </c>
      <c r="B36" s="71" t="s">
        <v>141</v>
      </c>
      <c r="C36" s="71" t="s">
        <v>26</v>
      </c>
      <c r="D36" s="72">
        <v>159462008.20966482</v>
      </c>
    </row>
    <row r="37" spans="1:4" x14ac:dyDescent="0.3">
      <c r="A37" s="71">
        <v>2019</v>
      </c>
      <c r="B37" s="71" t="s">
        <v>206</v>
      </c>
      <c r="C37" s="71" t="s">
        <v>207</v>
      </c>
      <c r="D37" s="72">
        <v>299023147.64170206</v>
      </c>
    </row>
    <row r="38" spans="1:4" x14ac:dyDescent="0.3">
      <c r="A38" s="71">
        <v>2020</v>
      </c>
      <c r="B38" s="71" t="s">
        <v>1</v>
      </c>
      <c r="C38" s="71" t="s">
        <v>2</v>
      </c>
      <c r="D38" s="72">
        <v>144756737.42610183</v>
      </c>
    </row>
    <row r="39" spans="1:4" x14ac:dyDescent="0.3">
      <c r="A39" s="71">
        <v>2020</v>
      </c>
      <c r="B39" s="71" t="s">
        <v>3</v>
      </c>
      <c r="C39" s="71" t="s">
        <v>4</v>
      </c>
      <c r="D39" s="72">
        <v>11885345.9</v>
      </c>
    </row>
    <row r="40" spans="1:4" x14ac:dyDescent="0.3">
      <c r="A40" s="71">
        <v>2020</v>
      </c>
      <c r="B40" s="71" t="s">
        <v>193</v>
      </c>
      <c r="C40" s="71" t="s">
        <v>194</v>
      </c>
      <c r="D40" s="72">
        <v>143460.56021036324</v>
      </c>
    </row>
    <row r="41" spans="1:4" x14ac:dyDescent="0.3">
      <c r="A41" s="71">
        <v>2020</v>
      </c>
      <c r="B41" s="71" t="s">
        <v>235</v>
      </c>
      <c r="C41" s="71" t="s">
        <v>158</v>
      </c>
      <c r="D41" s="72">
        <v>323175.72909090878</v>
      </c>
    </row>
    <row r="42" spans="1:4" x14ac:dyDescent="0.3">
      <c r="A42" s="71">
        <v>2020</v>
      </c>
      <c r="B42" s="71" t="s">
        <v>236</v>
      </c>
      <c r="C42" s="71" t="s">
        <v>195</v>
      </c>
      <c r="D42" s="72">
        <v>24469502.752227362</v>
      </c>
    </row>
    <row r="43" spans="1:4" x14ac:dyDescent="0.3">
      <c r="A43" s="71">
        <v>2020</v>
      </c>
      <c r="B43" s="71" t="s">
        <v>237</v>
      </c>
      <c r="C43" s="71" t="s">
        <v>159</v>
      </c>
      <c r="D43" s="72">
        <v>196963.95</v>
      </c>
    </row>
    <row r="44" spans="1:4" x14ac:dyDescent="0.3">
      <c r="A44" s="71">
        <v>2020</v>
      </c>
      <c r="B44" s="71" t="s">
        <v>238</v>
      </c>
      <c r="C44" s="71" t="s">
        <v>196</v>
      </c>
      <c r="D44" s="72">
        <v>100000</v>
      </c>
    </row>
    <row r="45" spans="1:4" x14ac:dyDescent="0.3">
      <c r="A45" s="71">
        <v>2020</v>
      </c>
      <c r="B45" s="71" t="s">
        <v>132</v>
      </c>
      <c r="C45" s="71" t="s">
        <v>6</v>
      </c>
      <c r="D45" s="72">
        <v>181875186.31763047</v>
      </c>
    </row>
    <row r="46" spans="1:4" x14ac:dyDescent="0.3">
      <c r="A46" s="71">
        <v>2020</v>
      </c>
      <c r="B46" s="71" t="s">
        <v>239</v>
      </c>
      <c r="C46" s="71" t="s">
        <v>160</v>
      </c>
      <c r="D46" s="72">
        <v>39267786.496564828</v>
      </c>
    </row>
    <row r="47" spans="1:4" x14ac:dyDescent="0.3">
      <c r="A47" s="71">
        <v>2020</v>
      </c>
      <c r="B47" s="71" t="s">
        <v>7</v>
      </c>
      <c r="C47" s="71" t="s">
        <v>161</v>
      </c>
      <c r="D47" s="72">
        <v>36158571.175505936</v>
      </c>
    </row>
    <row r="48" spans="1:4" x14ac:dyDescent="0.3">
      <c r="A48" s="71">
        <v>2020</v>
      </c>
      <c r="B48" s="71" t="s">
        <v>240</v>
      </c>
      <c r="C48" s="71" t="s">
        <v>162</v>
      </c>
      <c r="D48" s="72">
        <v>181047.34791506856</v>
      </c>
    </row>
    <row r="49" spans="1:4" x14ac:dyDescent="0.3">
      <c r="A49" s="71">
        <v>2020</v>
      </c>
      <c r="B49" s="71" t="s">
        <v>241</v>
      </c>
      <c r="C49" s="71" t="s">
        <v>163</v>
      </c>
      <c r="D49" s="72">
        <v>1236390.7065499998</v>
      </c>
    </row>
    <row r="50" spans="1:4" x14ac:dyDescent="0.3">
      <c r="A50" s="71">
        <v>2020</v>
      </c>
      <c r="B50" s="71" t="s">
        <v>242</v>
      </c>
      <c r="C50" s="71" t="s">
        <v>164</v>
      </c>
      <c r="D50" s="72">
        <v>20704631.823772997</v>
      </c>
    </row>
    <row r="51" spans="1:4" x14ac:dyDescent="0.3">
      <c r="A51" s="71">
        <v>2020</v>
      </c>
      <c r="B51" s="71" t="s">
        <v>165</v>
      </c>
      <c r="C51" s="71" t="s">
        <v>166</v>
      </c>
      <c r="D51" s="72">
        <v>70844.84</v>
      </c>
    </row>
    <row r="52" spans="1:4" x14ac:dyDescent="0.3">
      <c r="A52" s="71">
        <v>2020</v>
      </c>
      <c r="B52" s="71" t="s">
        <v>133</v>
      </c>
      <c r="C52" s="71" t="s">
        <v>9</v>
      </c>
      <c r="D52" s="72">
        <v>97619272.390308842</v>
      </c>
    </row>
    <row r="53" spans="1:4" x14ac:dyDescent="0.3">
      <c r="A53" s="71">
        <v>2020</v>
      </c>
      <c r="B53" s="71" t="s">
        <v>143</v>
      </c>
      <c r="C53" s="71" t="s">
        <v>243</v>
      </c>
      <c r="D53" s="72">
        <v>279494458.70793933</v>
      </c>
    </row>
    <row r="54" spans="1:4" x14ac:dyDescent="0.3">
      <c r="A54" s="71">
        <v>2020</v>
      </c>
      <c r="B54" s="71" t="s">
        <v>12</v>
      </c>
      <c r="C54" s="71" t="s">
        <v>13</v>
      </c>
      <c r="D54" s="72">
        <v>26412209.943440005</v>
      </c>
    </row>
    <row r="55" spans="1:4" x14ac:dyDescent="0.3">
      <c r="A55" s="71">
        <v>2020</v>
      </c>
      <c r="B55" s="71" t="s">
        <v>197</v>
      </c>
      <c r="C55" s="71" t="s">
        <v>14</v>
      </c>
      <c r="D55" s="72">
        <v>2182283.2899999991</v>
      </c>
    </row>
    <row r="56" spans="1:4" x14ac:dyDescent="0.3">
      <c r="A56" s="71">
        <v>2020</v>
      </c>
      <c r="B56" s="71" t="s">
        <v>15</v>
      </c>
      <c r="C56" s="71" t="s">
        <v>167</v>
      </c>
      <c r="D56" s="72">
        <v>60969077.209163398</v>
      </c>
    </row>
    <row r="57" spans="1:4" x14ac:dyDescent="0.3">
      <c r="A57" s="71">
        <v>2020</v>
      </c>
      <c r="B57" s="71" t="s">
        <v>16</v>
      </c>
      <c r="C57" s="71" t="s">
        <v>17</v>
      </c>
      <c r="D57" s="72">
        <v>49238098.287676029</v>
      </c>
    </row>
    <row r="58" spans="1:4" x14ac:dyDescent="0.3">
      <c r="A58" s="71">
        <v>2020</v>
      </c>
      <c r="B58" s="71" t="s">
        <v>198</v>
      </c>
      <c r="C58" s="71" t="s">
        <v>199</v>
      </c>
      <c r="D58" s="72">
        <v>138801668.73027945</v>
      </c>
    </row>
    <row r="59" spans="1:4" x14ac:dyDescent="0.3">
      <c r="A59" s="71">
        <v>2020</v>
      </c>
      <c r="B59" s="71" t="s">
        <v>200</v>
      </c>
      <c r="C59" s="71" t="s">
        <v>201</v>
      </c>
      <c r="D59" s="72">
        <v>909941.30470211047</v>
      </c>
    </row>
    <row r="60" spans="1:4" x14ac:dyDescent="0.3">
      <c r="A60" s="71">
        <v>2020</v>
      </c>
      <c r="B60" s="71" t="s">
        <v>134</v>
      </c>
      <c r="C60" s="71" t="s">
        <v>202</v>
      </c>
      <c r="D60" s="72">
        <v>139711610.03498155</v>
      </c>
    </row>
    <row r="61" spans="1:4" x14ac:dyDescent="0.3">
      <c r="A61" s="71">
        <v>2020</v>
      </c>
      <c r="B61" s="71" t="s">
        <v>244</v>
      </c>
      <c r="C61" s="71" t="s">
        <v>203</v>
      </c>
      <c r="D61" s="72">
        <v>446038</v>
      </c>
    </row>
    <row r="62" spans="1:4" x14ac:dyDescent="0.3">
      <c r="A62" s="71">
        <v>2020</v>
      </c>
      <c r="B62" s="71" t="s">
        <v>204</v>
      </c>
      <c r="C62" s="71" t="s">
        <v>20</v>
      </c>
      <c r="D62" s="72">
        <v>7852871</v>
      </c>
    </row>
    <row r="63" spans="1:4" x14ac:dyDescent="0.3">
      <c r="A63" s="71">
        <v>2020</v>
      </c>
      <c r="B63" s="71" t="s">
        <v>168</v>
      </c>
      <c r="C63" s="71" t="s">
        <v>169</v>
      </c>
      <c r="D63" s="72">
        <v>17856699.280000001</v>
      </c>
    </row>
    <row r="64" spans="1:4" x14ac:dyDescent="0.3">
      <c r="A64" s="71">
        <v>2020</v>
      </c>
      <c r="B64" s="71" t="s">
        <v>245</v>
      </c>
      <c r="C64" s="71" t="s">
        <v>170</v>
      </c>
      <c r="D64" s="72">
        <v>19761266.899999999</v>
      </c>
    </row>
    <row r="65" spans="1:4" x14ac:dyDescent="0.3">
      <c r="A65" s="71">
        <v>2020</v>
      </c>
      <c r="B65" s="71" t="s">
        <v>144</v>
      </c>
      <c r="C65" s="71" t="s">
        <v>22</v>
      </c>
      <c r="D65" s="72">
        <v>45916875.18</v>
      </c>
    </row>
    <row r="66" spans="1:4" x14ac:dyDescent="0.3">
      <c r="A66" s="71">
        <v>2020</v>
      </c>
      <c r="B66" s="71" t="s">
        <v>171</v>
      </c>
      <c r="C66" s="71" t="s">
        <v>205</v>
      </c>
      <c r="D66" s="72">
        <v>33374993.925974838</v>
      </c>
    </row>
    <row r="67" spans="1:4" x14ac:dyDescent="0.3">
      <c r="A67" s="71">
        <v>2020</v>
      </c>
      <c r="B67" s="71" t="s">
        <v>172</v>
      </c>
      <c r="C67" s="71" t="s">
        <v>173</v>
      </c>
      <c r="D67" s="72">
        <v>52867564.909999996</v>
      </c>
    </row>
    <row r="68" spans="1:4" x14ac:dyDescent="0.3">
      <c r="A68" s="71">
        <v>2020</v>
      </c>
      <c r="B68" s="71" t="s">
        <v>174</v>
      </c>
      <c r="C68" s="71" t="s">
        <v>175</v>
      </c>
      <c r="D68" s="72">
        <v>7623415.0058750007</v>
      </c>
    </row>
    <row r="69" spans="1:4" x14ac:dyDescent="0.3">
      <c r="A69" s="71">
        <v>2020</v>
      </c>
      <c r="B69" s="71" t="s">
        <v>145</v>
      </c>
      <c r="C69" s="71" t="s">
        <v>24</v>
      </c>
      <c r="D69" s="72">
        <v>93865973.841849849</v>
      </c>
    </row>
    <row r="70" spans="1:4" x14ac:dyDescent="0.3">
      <c r="A70" s="71">
        <v>2020</v>
      </c>
      <c r="B70" s="71" t="s">
        <v>141</v>
      </c>
      <c r="C70" s="71" t="s">
        <v>26</v>
      </c>
      <c r="D70" s="72">
        <v>139782849.02184984</v>
      </c>
    </row>
    <row r="71" spans="1:4" x14ac:dyDescent="0.3">
      <c r="A71" s="71">
        <v>2020</v>
      </c>
      <c r="B71" s="71" t="s">
        <v>206</v>
      </c>
      <c r="C71" s="71" t="s">
        <v>207</v>
      </c>
      <c r="D71" s="72">
        <v>279494459.05683136</v>
      </c>
    </row>
    <row r="72" spans="1:4" x14ac:dyDescent="0.3">
      <c r="A72" s="71">
        <v>2018</v>
      </c>
      <c r="B72" s="71" t="s">
        <v>1</v>
      </c>
      <c r="C72" s="71" t="s">
        <v>2</v>
      </c>
      <c r="D72" s="72">
        <v>172357212</v>
      </c>
    </row>
    <row r="73" spans="1:4" x14ac:dyDescent="0.3">
      <c r="A73" s="71">
        <v>2018</v>
      </c>
      <c r="B73" s="71" t="s">
        <v>3</v>
      </c>
      <c r="C73" s="71" t="s">
        <v>4</v>
      </c>
      <c r="D73" s="72">
        <v>18033515</v>
      </c>
    </row>
    <row r="74" spans="1:4" x14ac:dyDescent="0.3">
      <c r="A74" s="71">
        <v>2018</v>
      </c>
      <c r="B74" s="71" t="s">
        <v>193</v>
      </c>
      <c r="C74" s="71" t="s">
        <v>194</v>
      </c>
      <c r="D74" s="72">
        <v>143461</v>
      </c>
    </row>
    <row r="75" spans="1:4" x14ac:dyDescent="0.3">
      <c r="A75" s="71">
        <v>2018</v>
      </c>
      <c r="B75" s="71" t="s">
        <v>235</v>
      </c>
      <c r="C75" s="71" t="s">
        <v>158</v>
      </c>
      <c r="D75" s="72">
        <v>90427</v>
      </c>
    </row>
    <row r="76" spans="1:4" x14ac:dyDescent="0.3">
      <c r="A76" s="71">
        <v>2018</v>
      </c>
      <c r="B76" s="71" t="s">
        <v>236</v>
      </c>
      <c r="C76" s="71" t="s">
        <v>195</v>
      </c>
      <c r="D76" s="72">
        <v>27102521</v>
      </c>
    </row>
    <row r="77" spans="1:4" x14ac:dyDescent="0.3">
      <c r="A77" s="71">
        <v>2018</v>
      </c>
      <c r="B77" s="71" t="s">
        <v>237</v>
      </c>
      <c r="C77" s="71" t="s">
        <v>159</v>
      </c>
      <c r="D77" s="72">
        <v>197374</v>
      </c>
    </row>
    <row r="78" spans="1:4" x14ac:dyDescent="0.3">
      <c r="A78" s="71">
        <v>2018</v>
      </c>
      <c r="B78" s="71" t="s">
        <v>238</v>
      </c>
      <c r="C78" s="71" t="s">
        <v>196</v>
      </c>
      <c r="D78" s="72">
        <v>217472</v>
      </c>
    </row>
    <row r="79" spans="1:4" x14ac:dyDescent="0.3">
      <c r="A79" s="71">
        <v>2018</v>
      </c>
      <c r="B79" s="71" t="s">
        <v>132</v>
      </c>
      <c r="C79" s="71" t="s">
        <v>6</v>
      </c>
      <c r="D79" s="72">
        <v>218141982</v>
      </c>
    </row>
    <row r="80" spans="1:4" x14ac:dyDescent="0.3">
      <c r="A80" s="71">
        <v>2018</v>
      </c>
      <c r="B80" s="71" t="s">
        <v>239</v>
      </c>
      <c r="C80" s="71" t="s">
        <v>160</v>
      </c>
      <c r="D80" s="72">
        <v>36243315</v>
      </c>
    </row>
    <row r="81" spans="1:4" x14ac:dyDescent="0.3">
      <c r="A81" s="71">
        <v>2018</v>
      </c>
      <c r="B81" s="71" t="s">
        <v>7</v>
      </c>
      <c r="C81" s="71" t="s">
        <v>161</v>
      </c>
      <c r="D81" s="72">
        <v>30079464</v>
      </c>
    </row>
    <row r="82" spans="1:4" x14ac:dyDescent="0.3">
      <c r="A82" s="71">
        <v>2018</v>
      </c>
      <c r="B82" s="71" t="s">
        <v>240</v>
      </c>
      <c r="C82" s="71" t="s">
        <v>162</v>
      </c>
      <c r="D82" s="72">
        <v>0</v>
      </c>
    </row>
    <row r="83" spans="1:4" x14ac:dyDescent="0.3">
      <c r="A83" s="71">
        <v>2018</v>
      </c>
      <c r="B83" s="71" t="s">
        <v>241</v>
      </c>
      <c r="C83" s="71" t="s">
        <v>163</v>
      </c>
      <c r="D83" s="72">
        <v>1134203</v>
      </c>
    </row>
    <row r="84" spans="1:4" x14ac:dyDescent="0.3">
      <c r="A84" s="71">
        <v>2018</v>
      </c>
      <c r="B84" s="71" t="s">
        <v>242</v>
      </c>
      <c r="C84" s="71" t="s">
        <v>164</v>
      </c>
      <c r="D84" s="72">
        <v>9899542</v>
      </c>
    </row>
    <row r="85" spans="1:4" x14ac:dyDescent="0.3">
      <c r="A85" s="71">
        <v>2018</v>
      </c>
      <c r="B85" s="71" t="s">
        <v>165</v>
      </c>
      <c r="C85" s="71" t="s">
        <v>166</v>
      </c>
      <c r="D85" s="72">
        <v>16000390</v>
      </c>
    </row>
    <row r="86" spans="1:4" x14ac:dyDescent="0.3">
      <c r="A86" s="71">
        <v>2018</v>
      </c>
      <c r="B86" s="71" t="s">
        <v>133</v>
      </c>
      <c r="C86" s="71" t="s">
        <v>9</v>
      </c>
      <c r="D86" s="72">
        <v>93356914</v>
      </c>
    </row>
    <row r="87" spans="1:4" x14ac:dyDescent="0.3">
      <c r="A87" s="71">
        <v>2018</v>
      </c>
      <c r="B87" s="71" t="s">
        <v>143</v>
      </c>
      <c r="C87" s="71" t="s">
        <v>243</v>
      </c>
      <c r="D87" s="72">
        <v>311498896</v>
      </c>
    </row>
    <row r="88" spans="1:4" x14ac:dyDescent="0.3">
      <c r="A88" s="71">
        <v>2018</v>
      </c>
      <c r="B88" s="71" t="s">
        <v>12</v>
      </c>
      <c r="C88" s="71" t="s">
        <v>13</v>
      </c>
      <c r="D88" s="72">
        <v>26412210</v>
      </c>
    </row>
    <row r="89" spans="1:4" x14ac:dyDescent="0.3">
      <c r="A89" s="71">
        <v>2018</v>
      </c>
      <c r="B89" s="71" t="s">
        <v>197</v>
      </c>
      <c r="C89" s="71" t="s">
        <v>14</v>
      </c>
      <c r="D89" s="72">
        <v>2182483</v>
      </c>
    </row>
    <row r="90" spans="1:4" x14ac:dyDescent="0.3">
      <c r="A90" s="71">
        <v>2018</v>
      </c>
      <c r="B90" s="71" t="s">
        <v>15</v>
      </c>
      <c r="C90" s="71" t="s">
        <v>167</v>
      </c>
      <c r="D90" s="72">
        <v>60137391</v>
      </c>
    </row>
    <row r="91" spans="1:4" x14ac:dyDescent="0.3">
      <c r="A91" s="71">
        <v>2018</v>
      </c>
      <c r="B91" s="71" t="s">
        <v>16</v>
      </c>
      <c r="C91" s="71" t="s">
        <v>17</v>
      </c>
      <c r="D91" s="72">
        <v>52896580</v>
      </c>
    </row>
    <row r="92" spans="1:4" x14ac:dyDescent="0.3">
      <c r="A92" s="71">
        <v>2018</v>
      </c>
      <c r="B92" s="71" t="s">
        <v>198</v>
      </c>
      <c r="C92" s="71" t="s">
        <v>199</v>
      </c>
      <c r="D92" s="72">
        <v>141628664</v>
      </c>
    </row>
    <row r="93" spans="1:4" x14ac:dyDescent="0.3">
      <c r="A93" s="71">
        <v>2018</v>
      </c>
      <c r="B93" s="71" t="s">
        <v>200</v>
      </c>
      <c r="C93" s="71" t="s">
        <v>201</v>
      </c>
      <c r="D93" s="72">
        <v>938553</v>
      </c>
    </row>
    <row r="94" spans="1:4" x14ac:dyDescent="0.3">
      <c r="A94" s="71">
        <v>2018</v>
      </c>
      <c r="B94" s="71" t="s">
        <v>134</v>
      </c>
      <c r="C94" s="71" t="s">
        <v>202</v>
      </c>
      <c r="D94" s="72">
        <v>142567217</v>
      </c>
    </row>
    <row r="95" spans="1:4" x14ac:dyDescent="0.3">
      <c r="A95" s="71">
        <v>2018</v>
      </c>
      <c r="B95" s="71" t="s">
        <v>244</v>
      </c>
      <c r="C95" s="71" t="s">
        <v>203</v>
      </c>
      <c r="D95" s="72">
        <v>285294</v>
      </c>
    </row>
    <row r="96" spans="1:4" x14ac:dyDescent="0.3">
      <c r="A96" s="71">
        <v>2018</v>
      </c>
      <c r="B96" s="71" t="s">
        <v>204</v>
      </c>
      <c r="C96" s="71" t="s">
        <v>20</v>
      </c>
      <c r="D96" s="72">
        <v>8902075</v>
      </c>
    </row>
    <row r="97" spans="1:4" x14ac:dyDescent="0.3">
      <c r="A97" s="71">
        <v>2018</v>
      </c>
      <c r="B97" s="71" t="s">
        <v>168</v>
      </c>
      <c r="C97" s="71" t="s">
        <v>169</v>
      </c>
      <c r="D97" s="72">
        <v>37264631</v>
      </c>
    </row>
    <row r="98" spans="1:4" x14ac:dyDescent="0.3">
      <c r="A98" s="71">
        <v>2018</v>
      </c>
      <c r="B98" s="71" t="s">
        <v>245</v>
      </c>
      <c r="C98" s="71" t="s">
        <v>170</v>
      </c>
      <c r="D98" s="72">
        <v>27300954</v>
      </c>
    </row>
    <row r="99" spans="1:4" x14ac:dyDescent="0.3">
      <c r="A99" s="71">
        <v>2018</v>
      </c>
      <c r="B99" s="71" t="s">
        <v>144</v>
      </c>
      <c r="C99" s="71" t="s">
        <v>22</v>
      </c>
      <c r="D99" s="72">
        <v>73752954</v>
      </c>
    </row>
    <row r="100" spans="1:4" x14ac:dyDescent="0.3">
      <c r="A100" s="71">
        <v>2018</v>
      </c>
      <c r="B100" s="71" t="s">
        <v>171</v>
      </c>
      <c r="C100" s="71" t="s">
        <v>205</v>
      </c>
      <c r="D100" s="72">
        <v>34352570</v>
      </c>
    </row>
    <row r="101" spans="1:4" x14ac:dyDescent="0.3">
      <c r="A101" s="71">
        <v>2018</v>
      </c>
      <c r="B101" s="71" t="s">
        <v>172</v>
      </c>
      <c r="C101" s="71" t="s">
        <v>173</v>
      </c>
      <c r="D101" s="72">
        <v>52606680</v>
      </c>
    </row>
    <row r="102" spans="1:4" x14ac:dyDescent="0.3">
      <c r="A102" s="71">
        <v>2018</v>
      </c>
      <c r="B102" s="71" t="s">
        <v>174</v>
      </c>
      <c r="C102" s="71" t="s">
        <v>175</v>
      </c>
      <c r="D102" s="72">
        <v>8219475</v>
      </c>
    </row>
    <row r="103" spans="1:4" x14ac:dyDescent="0.3">
      <c r="A103" s="71">
        <v>2018</v>
      </c>
      <c r="B103" s="71" t="s">
        <v>145</v>
      </c>
      <c r="C103" s="71" t="s">
        <v>24</v>
      </c>
      <c r="D103" s="72">
        <v>95178725</v>
      </c>
    </row>
    <row r="104" spans="1:4" x14ac:dyDescent="0.3">
      <c r="A104" s="71">
        <v>2018</v>
      </c>
      <c r="B104" s="71" t="s">
        <v>141</v>
      </c>
      <c r="C104" s="71" t="s">
        <v>26</v>
      </c>
      <c r="D104" s="72">
        <v>168931679</v>
      </c>
    </row>
    <row r="105" spans="1:4" x14ac:dyDescent="0.3">
      <c r="A105" s="71">
        <v>2018</v>
      </c>
      <c r="B105" s="71" t="s">
        <v>206</v>
      </c>
      <c r="C105" s="71" t="s">
        <v>207</v>
      </c>
      <c r="D105" s="72">
        <v>311498896</v>
      </c>
    </row>
  </sheetData>
  <autoFilter ref="A3:D207" xr:uid="{1365120E-2296-4813-8E3A-9715D73AB079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44"/>
  <sheetViews>
    <sheetView showGridLines="0" zoomScale="90" zoomScaleNormal="90" workbookViewId="0">
      <selection activeCell="G25" sqref="G25"/>
    </sheetView>
  </sheetViews>
  <sheetFormatPr defaultRowHeight="15" x14ac:dyDescent="0.3"/>
  <cols>
    <col min="1" max="1" width="5" style="49" customWidth="1"/>
    <col min="2" max="2" width="29.5546875" style="49" customWidth="1"/>
    <col min="3" max="3" width="13.109375" style="49" bestFit="1" customWidth="1"/>
    <col min="4" max="4" width="12.77734375" style="49" bestFit="1" customWidth="1"/>
    <col min="5" max="6" width="13.109375" style="49" bestFit="1" customWidth="1"/>
    <col min="7" max="7" width="12.88671875" style="49" bestFit="1" customWidth="1"/>
    <col min="8" max="8" width="3" style="84" bestFit="1" customWidth="1"/>
    <col min="9" max="9" width="12.33203125" style="49" bestFit="1" customWidth="1"/>
    <col min="10" max="10" width="7.5546875" style="49" bestFit="1" customWidth="1"/>
    <col min="11" max="11" width="5.21875" style="49" customWidth="1"/>
    <col min="12" max="16384" width="8.88671875" style="49"/>
  </cols>
  <sheetData>
    <row r="2" spans="2:10" x14ac:dyDescent="0.3">
      <c r="B2" s="95" t="s">
        <v>260</v>
      </c>
    </row>
    <row r="3" spans="2:10" ht="15.6" thickBot="1" x14ac:dyDescent="0.35"/>
    <row r="4" spans="2:10" thickBot="1" x14ac:dyDescent="0.35">
      <c r="B4" s="125" t="s">
        <v>0</v>
      </c>
      <c r="C4" s="126">
        <f>Data_Interim!L3</f>
        <v>2017</v>
      </c>
      <c r="D4" s="126">
        <f>Data_Interim!M3</f>
        <v>2018</v>
      </c>
      <c r="E4" s="126">
        <f>Data_Interim!N3</f>
        <v>2019</v>
      </c>
      <c r="F4" s="126">
        <f>Data_Interim!O3</f>
        <v>2020</v>
      </c>
      <c r="G4" s="126">
        <f>Data_Interim!P3</f>
        <v>2021</v>
      </c>
      <c r="H4" s="213" t="str">
        <f>CONCATENATE(G4," vs. ",F4)</f>
        <v>2021 vs. 2020</v>
      </c>
      <c r="I4" s="213"/>
      <c r="J4" s="213"/>
    </row>
    <row r="5" spans="2:10" ht="14.4" x14ac:dyDescent="0.3">
      <c r="B5" s="127" t="s">
        <v>261</v>
      </c>
      <c r="C5" s="13">
        <f>'3.Sit.Rezultatului Global'!C4</f>
        <v>124258442</v>
      </c>
      <c r="D5" s="13">
        <f>'3.Sit.Rezultatului Global'!D4</f>
        <v>128475060</v>
      </c>
      <c r="E5" s="13">
        <f>'3.Sit.Rezultatului Global'!E4</f>
        <v>121793575</v>
      </c>
      <c r="F5" s="13">
        <f>'3.Sit.Rezultatului Global'!F4</f>
        <v>126910420.85327999</v>
      </c>
      <c r="G5" s="135">
        <f>'3.Sit.Rezultatului Global'!G4</f>
        <v>154935051.10545346</v>
      </c>
      <c r="H5" s="9" t="str">
        <f>IF(G5+F5&gt;0,IF(G5&gt;F5,"▲",IF(G5=F5,"▬","▼")),IF(G5&gt;F5,"▼",IF(G5=F5,"▬","▲")))</f>
        <v>▲</v>
      </c>
      <c r="I5" s="13">
        <f>G5-F5</f>
        <v>28024630.252173468</v>
      </c>
      <c r="J5" s="134">
        <f>G5/F5-1</f>
        <v>0.22082213630488612</v>
      </c>
    </row>
    <row r="6" spans="2:10" ht="14.4" x14ac:dyDescent="0.3">
      <c r="B6" s="127" t="s">
        <v>37</v>
      </c>
      <c r="C6" s="13">
        <f>'3.Sit.Rezultatului Global'!C5</f>
        <v>2959053</v>
      </c>
      <c r="D6" s="13">
        <f>'3.Sit.Rezultatului Global'!D5</f>
        <v>2833247</v>
      </c>
      <c r="E6" s="13">
        <f>'3.Sit.Rezultatului Global'!E5</f>
        <v>2995465</v>
      </c>
      <c r="F6" s="13">
        <f>'3.Sit.Rezultatului Global'!F5</f>
        <v>2586718.04</v>
      </c>
      <c r="G6" s="135">
        <f>'3.Sit.Rezultatului Global'!G5</f>
        <v>2910372.57</v>
      </c>
      <c r="H6" s="9" t="str">
        <f t="shared" ref="H6:H15" si="0">IF(G6+F6&gt;0,IF(G6&gt;F6,"▲",IF(G6=F6,"▬","▼")),IF(G6&gt;F6,"▼",IF(G6=F6,"▬","▲")))</f>
        <v>▲</v>
      </c>
      <c r="I6" s="13">
        <f t="shared" ref="I6:I15" si="1">G6-F6</f>
        <v>323654.5299999998</v>
      </c>
      <c r="J6" s="134">
        <f t="shared" ref="J6:J15" si="2">G6/F6-1</f>
        <v>0.12512168894913644</v>
      </c>
    </row>
    <row r="7" spans="2:10" ht="43.2" x14ac:dyDescent="0.3">
      <c r="B7" s="195" t="s">
        <v>262</v>
      </c>
      <c r="C7" s="184">
        <f>'3.Sit.Rezultatului Global'!C15</f>
        <v>599462</v>
      </c>
      <c r="D7" s="184">
        <f>'3.Sit.Rezultatului Global'!D15</f>
        <v>-33120</v>
      </c>
      <c r="E7" s="184">
        <f>'3.Sit.Rezultatului Global'!E15</f>
        <v>830663</v>
      </c>
      <c r="F7" s="184">
        <f>'3.Sit.Rezultatului Global'!F15</f>
        <v>-2308339.3475190965</v>
      </c>
      <c r="G7" s="196">
        <f>'3.Sit.Rezultatului Global'!G15</f>
        <v>2366338.7559664818</v>
      </c>
      <c r="H7" s="19" t="str">
        <f t="shared" ref="H7" si="3">IF(G7+F7&gt;0,IF(G7&gt;F7,"▲",IF(G7=F7,"▬","▼")),IF(G7&gt;F7,"▼",IF(G7=F7,"▬","▲")))</f>
        <v>▲</v>
      </c>
      <c r="I7" s="184">
        <f t="shared" ref="I7" si="4">G7-F7</f>
        <v>4674678.1034855787</v>
      </c>
      <c r="J7" s="132" t="s">
        <v>264</v>
      </c>
    </row>
    <row r="8" spans="2:10" thickBot="1" x14ac:dyDescent="0.35">
      <c r="B8" s="127" t="s">
        <v>45</v>
      </c>
      <c r="C8" s="15">
        <f>'EBIT-EBITDA'!C10</f>
        <v>4924872</v>
      </c>
      <c r="D8" s="15">
        <f>'EBIT-EBITDA'!D10</f>
        <v>8691565</v>
      </c>
      <c r="E8" s="15">
        <f>'EBIT-EBITDA'!E10</f>
        <v>6153560</v>
      </c>
      <c r="F8" s="15">
        <f>'EBIT-EBITDA'!F10</f>
        <v>5203761.0070433374</v>
      </c>
      <c r="G8" s="135">
        <f>'EBIT-EBITDA'!G10</f>
        <v>11455923.500864988</v>
      </c>
      <c r="H8" s="9" t="str">
        <f t="shared" si="0"/>
        <v>▲</v>
      </c>
      <c r="I8" s="13">
        <f t="shared" si="1"/>
        <v>6252162.4938216507</v>
      </c>
      <c r="J8" s="134">
        <f t="shared" si="2"/>
        <v>1.2014699532432971</v>
      </c>
    </row>
    <row r="9" spans="2:10" thickBot="1" x14ac:dyDescent="0.35">
      <c r="B9" s="128" t="s">
        <v>155</v>
      </c>
      <c r="C9" s="129">
        <f>SUMIFS(Data_Interim!L:L,Data_Interim!$A:$A,"Semestrul1",Data_Interim!$B:$B,Snapshots!$B$9)</f>
        <v>5809517</v>
      </c>
      <c r="D9" s="129">
        <f>SUMIFS(Data_Interim!M:M,Data_Interim!$A:$A,"Semestrul1",Data_Interim!$B:$B,Snapshots!$B$9)</f>
        <v>5208031</v>
      </c>
      <c r="E9" s="129">
        <f>SUMIFS(Data_Interim!N:N,Data_Interim!$A:$A,"Semestrul1",Data_Interim!$B:$B,Snapshots!$B$9)</f>
        <v>4326139</v>
      </c>
      <c r="F9" s="129">
        <f>SUMIFS(Data_Interim!O:O,Data_Interim!$A:$A,"Semestrul1",Data_Interim!$B:$B,Snapshots!$B$9)</f>
        <v>8366530.4845624231</v>
      </c>
      <c r="G9" s="136">
        <f>SUMIFS(Data_Interim!P:P,Data_Interim!$A:$A,"Semestrul1",Data_Interim!$B:$B,Snapshots!$B$9)</f>
        <v>9825993.5648985021</v>
      </c>
      <c r="H9" s="130" t="str">
        <f t="shared" ref="H9" si="5">IF(G9+F9&gt;0,IF(G9&gt;F9,"▲",IF(G9=F9,"▬","▼")),IF(G9&gt;F9,"▼",IF(G9=F9,"▬","▲")))</f>
        <v>▲</v>
      </c>
      <c r="I9" s="131">
        <f t="shared" ref="I9" si="6">G9-F9</f>
        <v>1459463.080336079</v>
      </c>
      <c r="J9" s="197">
        <f t="shared" ref="J9" si="7">G9/F9-1</f>
        <v>0.17444065769305683</v>
      </c>
    </row>
    <row r="10" spans="2:10" thickBot="1" x14ac:dyDescent="0.35">
      <c r="B10" s="127" t="s">
        <v>131</v>
      </c>
      <c r="C10" s="15">
        <f>'3.Sit.Rezultatului Global'!C18</f>
        <v>-2435201</v>
      </c>
      <c r="D10" s="15">
        <f>'3.Sit.Rezultatului Global'!D18</f>
        <v>1206757</v>
      </c>
      <c r="E10" s="15">
        <f>'3.Sit.Rezultatului Global'!E18</f>
        <v>-1164014</v>
      </c>
      <c r="F10" s="15">
        <f>'3.Sit.Rezultatului Global'!F18</f>
        <v>-1641835.7529566623</v>
      </c>
      <c r="G10" s="135">
        <f>'3.Sit.Rezultatului Global'!G18</f>
        <v>4503356.1708649881</v>
      </c>
      <c r="H10" s="9" t="str">
        <f>IF(G10+F10&gt;0,IF(G10&gt;F10,"▲",IF(G10=F10,"▬","▼")),IF(G10&gt;F10,"▼",IF(G10=F10,"▬","▲")))</f>
        <v>▲</v>
      </c>
      <c r="I10" s="13">
        <f t="shared" si="1"/>
        <v>6145191.9238216504</v>
      </c>
      <c r="J10" s="134" t="s">
        <v>264</v>
      </c>
    </row>
    <row r="11" spans="2:10" ht="43.8" thickBot="1" x14ac:dyDescent="0.35">
      <c r="B11" s="199" t="s">
        <v>263</v>
      </c>
      <c r="C11" s="198">
        <f>C10-C7</f>
        <v>-3034663</v>
      </c>
      <c r="D11" s="198">
        <f t="shared" ref="D11:G11" si="8">D10-D7</f>
        <v>1239877</v>
      </c>
      <c r="E11" s="198">
        <f t="shared" si="8"/>
        <v>-1994677</v>
      </c>
      <c r="F11" s="198">
        <f t="shared" si="8"/>
        <v>666503.59456243413</v>
      </c>
      <c r="G11" s="200">
        <f t="shared" si="8"/>
        <v>2137017.4148985064</v>
      </c>
      <c r="H11" s="201" t="str">
        <f t="shared" ref="H11" si="9">IF(G11+F11&gt;0,IF(G11&gt;F11,"▲",IF(G11=F11,"▬","▼")),IF(G11&gt;F11,"▼",IF(G11=F11,"▬","▲")))</f>
        <v>▲</v>
      </c>
      <c r="I11" s="198">
        <f t="shared" si="1"/>
        <v>1470513.8203360722</v>
      </c>
      <c r="J11" s="202">
        <f t="shared" si="2"/>
        <v>2.2063104120263275</v>
      </c>
    </row>
    <row r="12" spans="2:10" ht="14.4" x14ac:dyDescent="0.3">
      <c r="B12" s="127" t="s">
        <v>132</v>
      </c>
      <c r="C12" s="15">
        <f>'1.Pozitia Financiara'!B11</f>
        <v>268107761</v>
      </c>
      <c r="D12" s="15">
        <f>'1.Pozitia Financiara'!C11</f>
        <v>253211808</v>
      </c>
      <c r="E12" s="15">
        <f>'1.Pozitia Financiara'!D11</f>
        <v>211038260</v>
      </c>
      <c r="F12" s="15">
        <f>'1.Pozitia Financiara'!E11</f>
        <v>189352813.5136849</v>
      </c>
      <c r="G12" s="135">
        <f>'1.Pozitia Financiara'!F11</f>
        <v>178046798.22238484</v>
      </c>
      <c r="H12" s="9" t="str">
        <f t="shared" si="0"/>
        <v>▼</v>
      </c>
      <c r="I12" s="13">
        <f t="shared" si="1"/>
        <v>-11306015.291300058</v>
      </c>
      <c r="J12" s="134">
        <f t="shared" si="2"/>
        <v>-5.9708726168375414E-2</v>
      </c>
    </row>
    <row r="13" spans="2:10" ht="14.4" x14ac:dyDescent="0.3">
      <c r="B13" s="127" t="s">
        <v>133</v>
      </c>
      <c r="C13" s="15">
        <f>'1.Pozitia Financiara'!B18</f>
        <v>81105480</v>
      </c>
      <c r="D13" s="15">
        <f>'1.Pozitia Financiara'!C18</f>
        <v>89830101</v>
      </c>
      <c r="E13" s="15">
        <f>'1.Pozitia Financiara'!D18</f>
        <v>100208296</v>
      </c>
      <c r="F13" s="15">
        <f>'1.Pozitia Financiara'!E18</f>
        <v>96764098.03478308</v>
      </c>
      <c r="G13" s="135">
        <f>'1.Pozitia Financiara'!F18</f>
        <v>108380938.08471972</v>
      </c>
      <c r="H13" s="9" t="str">
        <f t="shared" si="0"/>
        <v>▲</v>
      </c>
      <c r="I13" s="13">
        <f t="shared" si="1"/>
        <v>11616840.049936637</v>
      </c>
      <c r="J13" s="134">
        <f t="shared" si="2"/>
        <v>0.12005320450319101</v>
      </c>
    </row>
    <row r="14" spans="2:10" ht="14.4" x14ac:dyDescent="0.3">
      <c r="B14" s="127" t="s">
        <v>134</v>
      </c>
      <c r="C14" s="15">
        <f>'1.Pozitia Financiara'!B26</f>
        <v>148590220</v>
      </c>
      <c r="D14" s="15">
        <f>'1.Pozitia Financiara'!C26</f>
        <v>148683652</v>
      </c>
      <c r="E14" s="15">
        <f>'1.Pozitia Financiara'!D26</f>
        <v>140810799</v>
      </c>
      <c r="F14" s="15">
        <f>'1.Pozitia Financiara'!E26</f>
        <v>137581391.84156576</v>
      </c>
      <c r="G14" s="135">
        <f>'1.Pozitia Financiara'!F26</f>
        <v>141611863.56372088</v>
      </c>
      <c r="H14" s="9" t="str">
        <f t="shared" si="0"/>
        <v>▲</v>
      </c>
      <c r="I14" s="13">
        <f t="shared" si="1"/>
        <v>4030471.7221551239</v>
      </c>
      <c r="J14" s="134">
        <f t="shared" si="2"/>
        <v>2.9295180606956572E-2</v>
      </c>
    </row>
    <row r="15" spans="2:10" ht="14.4" x14ac:dyDescent="0.3">
      <c r="B15" s="127" t="s">
        <v>135</v>
      </c>
      <c r="C15" s="15">
        <f>'1.Pozitia Financiara'!B36</f>
        <v>200623021</v>
      </c>
      <c r="D15" s="15">
        <f>'1.Pozitia Financiara'!C36</f>
        <v>194358257</v>
      </c>
      <c r="E15" s="15">
        <f>'1.Pozitia Financiara'!D36</f>
        <v>170435757</v>
      </c>
      <c r="F15" s="15">
        <f>'1.Pozitia Financiara'!E36</f>
        <v>148535519.70580477</v>
      </c>
      <c r="G15" s="135">
        <f>'1.Pozitia Financiara'!F36</f>
        <v>144815872.90184987</v>
      </c>
      <c r="H15" s="9" t="str">
        <f t="shared" si="0"/>
        <v>▼</v>
      </c>
      <c r="I15" s="13">
        <f t="shared" si="1"/>
        <v>-3719646.8039548993</v>
      </c>
      <c r="J15" s="134">
        <f t="shared" si="2"/>
        <v>-2.5042136798808623E-2</v>
      </c>
    </row>
    <row r="16" spans="2:10" ht="14.4" x14ac:dyDescent="0.3">
      <c r="B16" s="127" t="s">
        <v>153</v>
      </c>
      <c r="C16" s="132">
        <f>C15/(C12+C13)</f>
        <v>0.57450004022041079</v>
      </c>
      <c r="D16" s="132">
        <f t="shared" ref="D16:G16" si="10">D15/(D12+D13)</f>
        <v>0.56657292272705961</v>
      </c>
      <c r="E16" s="132">
        <f t="shared" si="10"/>
        <v>0.54759082057120012</v>
      </c>
      <c r="F16" s="132">
        <f t="shared" si="10"/>
        <v>0.51914274798343385</v>
      </c>
      <c r="G16" s="137">
        <f t="shared" si="10"/>
        <v>0.50559305034125579</v>
      </c>
      <c r="H16" s="9" t="str">
        <f t="shared" ref="H16:H17" si="11">IF(G16+F16&gt;0,IF(G16&gt;F16,"▲",IF(G16=F16,"▬","▼")),IF(G16&gt;F16,"▼",IF(G16=F16,"▬","▲")))</f>
        <v>▼</v>
      </c>
      <c r="I16" s="133">
        <f>G16-F16</f>
        <v>-1.354969764217806E-2</v>
      </c>
      <c r="J16" s="134">
        <f>G16/F16-1</f>
        <v>-2.6100138535712469E-2</v>
      </c>
    </row>
    <row r="17" spans="2:20" ht="14.4" x14ac:dyDescent="0.3">
      <c r="B17" s="127" t="s">
        <v>154</v>
      </c>
      <c r="C17" s="132">
        <f>'1.Pozitia Financiara'!B18/'1.Pozitia Financiara'!B35</f>
        <v>0.7913124099881973</v>
      </c>
      <c r="D17" s="132">
        <f>'1.Pozitia Financiara'!C18/'1.Pozitia Financiara'!C35</f>
        <v>0.83180573580847994</v>
      </c>
      <c r="E17" s="132">
        <f>'1.Pozitia Financiara'!D18/'1.Pozitia Financiara'!D35</f>
        <v>0.96275823347144851</v>
      </c>
      <c r="F17" s="132">
        <f>'1.Pozitia Financiara'!E18/'1.Pozitia Financiara'!E35</f>
        <v>0.96827371381445471</v>
      </c>
      <c r="G17" s="137">
        <f>'1.Pozitia Financiara'!F18/'1.Pozitia Financiara'!F35</f>
        <v>1.0229422414034877</v>
      </c>
      <c r="H17" s="9" t="str">
        <f t="shared" si="11"/>
        <v>▲</v>
      </c>
      <c r="I17" s="133">
        <f t="shared" ref="I17" si="12">G17-F17</f>
        <v>5.4668527589032956E-2</v>
      </c>
      <c r="J17" s="134">
        <f t="shared" ref="J17" si="13">G17/F17-1</f>
        <v>5.6459786947711033E-2</v>
      </c>
    </row>
    <row r="18" spans="2:20" ht="14.4" x14ac:dyDescent="0.3">
      <c r="H18" s="49"/>
    </row>
    <row r="19" spans="2:20" ht="14.4" x14ac:dyDescent="0.3">
      <c r="B19" s="214" t="s">
        <v>156</v>
      </c>
      <c r="C19" s="214"/>
      <c r="D19" s="214"/>
      <c r="E19" s="214"/>
      <c r="F19" s="214"/>
      <c r="G19" s="214"/>
      <c r="H19" s="214"/>
      <c r="I19" s="214"/>
      <c r="J19" s="214"/>
      <c r="L19" s="86">
        <f>G5/C5-1</f>
        <v>0.24687746451426995</v>
      </c>
      <c r="M19" s="21"/>
      <c r="N19" s="21"/>
      <c r="O19" s="21"/>
      <c r="P19" s="21"/>
      <c r="Q19" s="21"/>
      <c r="R19" s="21"/>
      <c r="S19" s="21"/>
      <c r="T19" s="21"/>
    </row>
    <row r="20" spans="2:20" ht="14.4" x14ac:dyDescent="0.3">
      <c r="B20" s="214"/>
      <c r="C20" s="214"/>
      <c r="D20" s="214"/>
      <c r="E20" s="214"/>
      <c r="F20" s="214"/>
      <c r="G20" s="214"/>
      <c r="H20" s="214"/>
      <c r="I20" s="214"/>
      <c r="J20" s="214"/>
      <c r="L20" s="21"/>
      <c r="M20" s="21"/>
      <c r="N20" s="21"/>
      <c r="O20" s="21"/>
      <c r="P20" s="21"/>
      <c r="Q20" s="21"/>
      <c r="R20" s="21"/>
      <c r="S20" s="21"/>
      <c r="T20" s="21"/>
    </row>
    <row r="21" spans="2:20" ht="14.4" x14ac:dyDescent="0.3">
      <c r="B21" s="214" t="s">
        <v>157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"/>
      <c r="M21" s="21"/>
      <c r="N21" s="21"/>
      <c r="O21" s="21"/>
      <c r="P21" s="21"/>
      <c r="Q21" s="21"/>
      <c r="R21" s="21"/>
      <c r="S21" s="21"/>
      <c r="T21" s="21"/>
    </row>
    <row r="22" spans="2:20" ht="14.4" x14ac:dyDescent="0.3">
      <c r="B22" s="214"/>
      <c r="C22" s="214"/>
      <c r="D22" s="214"/>
      <c r="E22" s="214"/>
      <c r="F22" s="214"/>
      <c r="G22" s="214"/>
      <c r="H22" s="214"/>
      <c r="I22" s="214"/>
      <c r="J22" s="214"/>
      <c r="K22" s="214"/>
    </row>
    <row r="23" spans="2:20" ht="14.4" x14ac:dyDescent="0.3">
      <c r="C23" s="85"/>
      <c r="D23" s="85"/>
      <c r="E23" s="85"/>
      <c r="F23" s="85"/>
      <c r="G23" s="85"/>
      <c r="H23" s="85"/>
      <c r="I23" s="85"/>
      <c r="J23" s="85"/>
    </row>
    <row r="24" spans="2:20" ht="14.4" x14ac:dyDescent="0.3">
      <c r="C24" s="85"/>
      <c r="D24" s="85"/>
      <c r="E24" s="85"/>
      <c r="F24" s="85"/>
      <c r="G24" s="158"/>
      <c r="H24" s="85"/>
      <c r="I24" s="85"/>
      <c r="J24" s="85"/>
    </row>
    <row r="25" spans="2:20" ht="14.4" x14ac:dyDescent="0.3">
      <c r="C25" s="85"/>
      <c r="D25" s="85"/>
      <c r="E25" s="85"/>
      <c r="F25" s="85"/>
      <c r="G25" s="85"/>
      <c r="H25" s="85"/>
      <c r="I25" s="85"/>
      <c r="J25" s="85"/>
    </row>
    <row r="26" spans="2:20" ht="14.4" x14ac:dyDescent="0.3">
      <c r="C26" s="85"/>
      <c r="D26" s="85"/>
      <c r="E26" s="85"/>
      <c r="F26" s="85"/>
      <c r="G26" s="85"/>
      <c r="H26" s="85"/>
      <c r="I26" s="85"/>
      <c r="J26" s="85"/>
    </row>
    <row r="27" spans="2:20" ht="14.4" x14ac:dyDescent="0.3">
      <c r="C27" s="85"/>
      <c r="D27" s="85"/>
      <c r="E27" s="85"/>
      <c r="F27" s="85"/>
      <c r="G27" s="85"/>
      <c r="H27" s="85"/>
      <c r="I27" s="85"/>
      <c r="J27" s="85"/>
    </row>
    <row r="28" spans="2:20" x14ac:dyDescent="0.3">
      <c r="C28" s="85"/>
    </row>
    <row r="29" spans="2:20" x14ac:dyDescent="0.3">
      <c r="C29" s="85"/>
    </row>
    <row r="38" spans="6:7" x14ac:dyDescent="0.3">
      <c r="F38" s="85"/>
      <c r="G38" s="85"/>
    </row>
    <row r="39" spans="6:7" x14ac:dyDescent="0.3">
      <c r="F39" s="85"/>
      <c r="G39" s="85"/>
    </row>
    <row r="40" spans="6:7" x14ac:dyDescent="0.3">
      <c r="F40" s="85"/>
      <c r="G40" s="85"/>
    </row>
    <row r="41" spans="6:7" x14ac:dyDescent="0.3">
      <c r="F41" s="85"/>
      <c r="G41" s="85"/>
    </row>
    <row r="42" spans="6:7" x14ac:dyDescent="0.3">
      <c r="F42" s="85"/>
      <c r="G42" s="85"/>
    </row>
    <row r="43" spans="6:7" x14ac:dyDescent="0.3">
      <c r="F43" s="85"/>
      <c r="G43" s="85"/>
    </row>
    <row r="44" spans="6:7" x14ac:dyDescent="0.3">
      <c r="F44" s="85"/>
      <c r="G44" s="85"/>
    </row>
  </sheetData>
  <mergeCells count="3">
    <mergeCell ref="H4:J4"/>
    <mergeCell ref="B21:K22"/>
    <mergeCell ref="B19:J20"/>
  </mergeCells>
  <phoneticPr fontId="41" type="noConversion"/>
  <conditionalFormatting sqref="H5:H6 H10 H8 H12:H14">
    <cfRule type="expression" dxfId="151" priority="25">
      <formula>G5=F5</formula>
    </cfRule>
    <cfRule type="expression" dxfId="150" priority="26">
      <formula>G5&lt;F5</formula>
    </cfRule>
    <cfRule type="expression" dxfId="149" priority="27">
      <formula>G5&gt;F5</formula>
    </cfRule>
  </conditionalFormatting>
  <conditionalFormatting sqref="H18">
    <cfRule type="expression" dxfId="148" priority="22">
      <formula>G18=F18</formula>
    </cfRule>
    <cfRule type="expression" dxfId="147" priority="23">
      <formula>G18&lt;F18</formula>
    </cfRule>
    <cfRule type="expression" dxfId="146" priority="24">
      <formula>G18&gt;F18</formula>
    </cfRule>
  </conditionalFormatting>
  <conditionalFormatting sqref="H17">
    <cfRule type="expression" dxfId="145" priority="19">
      <formula>G17=F17</formula>
    </cfRule>
    <cfRule type="expression" dxfId="144" priority="20">
      <formula>G17&lt;F17</formula>
    </cfRule>
    <cfRule type="expression" dxfId="143" priority="21">
      <formula>G17&gt;F17</formula>
    </cfRule>
  </conditionalFormatting>
  <conditionalFormatting sqref="H16">
    <cfRule type="expression" dxfId="142" priority="16">
      <formula>G16=F16</formula>
    </cfRule>
    <cfRule type="expression" dxfId="141" priority="17">
      <formula>G16&gt;F16</formula>
    </cfRule>
    <cfRule type="expression" dxfId="140" priority="18">
      <formula>G1&lt;F16</formula>
    </cfRule>
  </conditionalFormatting>
  <conditionalFormatting sqref="H9">
    <cfRule type="expression" dxfId="139" priority="13">
      <formula>G9=F9</formula>
    </cfRule>
    <cfRule type="expression" dxfId="138" priority="14">
      <formula>G9&lt;F9</formula>
    </cfRule>
    <cfRule type="expression" dxfId="137" priority="15">
      <formula>G9&gt;F9</formula>
    </cfRule>
  </conditionalFormatting>
  <conditionalFormatting sqref="H15">
    <cfRule type="expression" dxfId="136" priority="84">
      <formula>G15=F15</formula>
    </cfRule>
    <cfRule type="expression" dxfId="135" priority="85">
      <formula>G15&gt;F15</formula>
    </cfRule>
    <cfRule type="expression" dxfId="134" priority="86">
      <formula>#REF!&lt;F15</formula>
    </cfRule>
  </conditionalFormatting>
  <conditionalFormatting sqref="H7">
    <cfRule type="expression" dxfId="133" priority="7">
      <formula>G7=F7</formula>
    </cfRule>
    <cfRule type="expression" dxfId="132" priority="8">
      <formula>G7&lt;F7</formula>
    </cfRule>
    <cfRule type="expression" dxfId="131" priority="9">
      <formula>G7&gt;F7</formula>
    </cfRule>
  </conditionalFormatting>
  <conditionalFormatting sqref="H11">
    <cfRule type="expression" dxfId="130" priority="1">
      <formula>G11=F11</formula>
    </cfRule>
    <cfRule type="expression" dxfId="129" priority="2">
      <formula>G11&lt;F11</formula>
    </cfRule>
    <cfRule type="expression" dxfId="128" priority="3">
      <formula>G11&gt;F11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5"/>
  <sheetViews>
    <sheetView showGridLines="0" zoomScaleNormal="100" workbookViewId="0">
      <pane xSplit="1" ySplit="3" topLeftCell="B4" activePane="bottomRight" state="frozen"/>
      <selection pane="topRight" activeCell="C1" sqref="C1"/>
      <selection pane="bottomLeft" activeCell="A5" sqref="A5"/>
      <selection pane="bottomRight" activeCell="K10" sqref="K10"/>
    </sheetView>
  </sheetViews>
  <sheetFormatPr defaultColWidth="9.109375" defaultRowHeight="14.4" x14ac:dyDescent="0.3"/>
  <cols>
    <col min="1" max="1" width="68.88671875" style="1" customWidth="1"/>
    <col min="2" max="2" width="13" style="1" customWidth="1"/>
    <col min="3" max="3" width="14.88671875" style="1" customWidth="1"/>
    <col min="4" max="4" width="13.109375" style="1" bestFit="1" customWidth="1"/>
    <col min="5" max="5" width="12.88671875" style="1" customWidth="1"/>
    <col min="6" max="6" width="13.44140625" style="1" bestFit="1" customWidth="1"/>
    <col min="7" max="7" width="10.5546875" style="1" bestFit="1" customWidth="1"/>
    <col min="8" max="8" width="11.6640625" style="1" bestFit="1" customWidth="1"/>
    <col min="9" max="9" width="3" style="1" bestFit="1" customWidth="1"/>
    <col min="10" max="10" width="10.109375" style="1" bestFit="1" customWidth="1"/>
    <col min="11" max="16384" width="9.109375" style="1"/>
  </cols>
  <sheetData>
    <row r="1" spans="1:10" x14ac:dyDescent="0.3">
      <c r="A1" s="94" t="s">
        <v>123</v>
      </c>
    </row>
    <row r="2" spans="1:10" ht="15" thickBot="1" x14ac:dyDescent="0.35"/>
    <row r="3" spans="1:10" ht="28.2" thickBot="1" x14ac:dyDescent="0.35">
      <c r="A3" s="138" t="s">
        <v>0</v>
      </c>
      <c r="B3" s="139" t="s">
        <v>254</v>
      </c>
      <c r="C3" s="139" t="s">
        <v>255</v>
      </c>
      <c r="D3" s="139" t="s">
        <v>256</v>
      </c>
      <c r="E3" s="139" t="s">
        <v>257</v>
      </c>
      <c r="F3" s="139" t="s">
        <v>258</v>
      </c>
      <c r="G3" s="140" t="str">
        <f>"In total "&amp;Data_Interim!P3</f>
        <v>In total 2021</v>
      </c>
      <c r="H3" s="215" t="str">
        <f>CONCATENATE(Data_Interim!P3," vs. ",Data_Interim!O3)</f>
        <v>2021 vs. 2020</v>
      </c>
      <c r="I3" s="215"/>
      <c r="J3" s="215"/>
    </row>
    <row r="4" spans="1:10" x14ac:dyDescent="0.3">
      <c r="A4" s="2" t="s">
        <v>1</v>
      </c>
      <c r="B4" s="2">
        <f>SUMIF(Data_Interim!$B:$B,$A4,Data_Interim!L:L)</f>
        <v>192989389</v>
      </c>
      <c r="C4" s="2">
        <f>SUMIF(Data_Interim!$B:$B,$A4,Data_Interim!M:M)</f>
        <v>177506250</v>
      </c>
      <c r="D4" s="2">
        <f>SUMIF(Data_Interim!$B:$B,$A4,Data_Interim!N:N)</f>
        <v>164440278</v>
      </c>
      <c r="E4" s="2">
        <f>SUMIF(Data_Interim!$B:$B,$A4,Data_Interim!O:O)</f>
        <v>150504234.88263863</v>
      </c>
      <c r="F4" s="141">
        <f>SUMIF(Data_Interim!$B:$B,$A4,Data_Interim!P:P)</f>
        <v>138584406.14761695</v>
      </c>
      <c r="G4" s="52">
        <f>F4/$F$19</f>
        <v>0.48383724263012123</v>
      </c>
      <c r="H4" s="53">
        <f>F4-E4</f>
        <v>-11919828.735021681</v>
      </c>
      <c r="I4" s="52" t="str">
        <f>IF(F4&gt;E4,"▲",IF(F4=E4,"▬","▼"))</f>
        <v>▼</v>
      </c>
      <c r="J4" s="52">
        <f>IF(ISERROR(F4/E4-100%),"",F4/E4-100%)</f>
        <v>-7.9199291264572147E-2</v>
      </c>
    </row>
    <row r="5" spans="1:10" x14ac:dyDescent="0.3">
      <c r="A5" s="2" t="s">
        <v>3</v>
      </c>
      <c r="B5" s="2">
        <f>SUMIF(Data_Interim!$B:$B,$A5,Data_Interim!L:L)</f>
        <v>45680013</v>
      </c>
      <c r="C5" s="2">
        <f>SUMIF(Data_Interim!$B:$B,$A5,Data_Interim!M:M)</f>
        <v>46444399</v>
      </c>
      <c r="D5" s="2">
        <f>SUMIF(Data_Interim!$B:$B,$A5,Data_Interim!N:N)</f>
        <v>18033515</v>
      </c>
      <c r="E5" s="2">
        <f>SUMIF(Data_Interim!$B:$B,$A5,Data_Interim!O:O)</f>
        <v>13425346</v>
      </c>
      <c r="F5" s="141">
        <f>SUMIF(Data_Interim!$B:$B,$A5,Data_Interim!P:P)</f>
        <v>11885346</v>
      </c>
      <c r="G5" s="52">
        <f t="shared" ref="G5:G10" si="0">F5/$F$19</f>
        <v>4.1495094550678104E-2</v>
      </c>
      <c r="H5" s="53">
        <f t="shared" ref="H5:H10" si="1">F5-E5</f>
        <v>-1540000</v>
      </c>
      <c r="I5" s="52" t="str">
        <f t="shared" ref="I5:I10" si="2">IF(F5&gt;E5,"▲",IF(F5=E5,"▬","▼"))</f>
        <v>▼</v>
      </c>
      <c r="J5" s="52">
        <f t="shared" ref="J5:J10" si="3">IF(ISERROR(F5/E5-100%),"",F5/E5-100%)</f>
        <v>-0.11470840304599972</v>
      </c>
    </row>
    <row r="6" spans="1:10" x14ac:dyDescent="0.3">
      <c r="A6" s="2" t="s">
        <v>193</v>
      </c>
      <c r="B6" s="2">
        <f>SUMIF(Data_Interim!$B:$B,$A6,Data_Interim!L:L)</f>
        <v>143461</v>
      </c>
      <c r="C6" s="2">
        <f>SUMIF(Data_Interim!$B:$B,$A6,Data_Interim!M:M)</f>
        <v>143461</v>
      </c>
      <c r="D6" s="2">
        <f>SUMIF(Data_Interim!$B:$B,$A6,Data_Interim!N:N)</f>
        <v>143461</v>
      </c>
      <c r="E6" s="2">
        <f>SUMIF(Data_Interim!$B:$B,$A6,Data_Interim!O:O)</f>
        <v>143460.56021036324</v>
      </c>
      <c r="F6" s="141">
        <f>SUMIF(Data_Interim!$B:$B,$A6,Data_Interim!P:P)</f>
        <v>143460.56021036324</v>
      </c>
      <c r="G6" s="52">
        <f t="shared" si="0"/>
        <v>5.00861271537427E-4</v>
      </c>
      <c r="H6" s="53">
        <f t="shared" si="1"/>
        <v>0</v>
      </c>
      <c r="I6" s="52" t="str">
        <f t="shared" si="2"/>
        <v>▬</v>
      </c>
      <c r="J6" s="52">
        <f t="shared" si="3"/>
        <v>0</v>
      </c>
    </row>
    <row r="7" spans="1:10" x14ac:dyDescent="0.3">
      <c r="A7" s="2" t="s">
        <v>235</v>
      </c>
      <c r="B7" s="2">
        <f>SUMIF(Data_Interim!$B:$B,$A7,Data_Interim!L:L)</f>
        <v>279586</v>
      </c>
      <c r="C7" s="2">
        <f>SUMIF(Data_Interim!$B:$B,$A7,Data_Interim!M:M)</f>
        <v>199838</v>
      </c>
      <c r="D7" s="2">
        <f>SUMIF(Data_Interim!$B:$B,$A7,Data_Interim!N:N)</f>
        <v>354733</v>
      </c>
      <c r="E7" s="2">
        <f>SUMIF(Data_Interim!$B:$B,$A7,Data_Interim!O:O)</f>
        <v>465276.41545454529</v>
      </c>
      <c r="F7" s="141">
        <f>SUMIF(Data_Interim!$B:$B,$A7,Data_Interim!P:P)</f>
        <v>300679.45636363584</v>
      </c>
      <c r="G7" s="52">
        <f t="shared" si="0"/>
        <v>1.0497567736989365E-3</v>
      </c>
      <c r="H7" s="53">
        <f t="shared" si="1"/>
        <v>-164596.95909090945</v>
      </c>
      <c r="I7" s="52" t="str">
        <f t="shared" si="2"/>
        <v>▼</v>
      </c>
      <c r="J7" s="52">
        <f t="shared" si="3"/>
        <v>-0.35376166430036815</v>
      </c>
    </row>
    <row r="8" spans="1:10" x14ac:dyDescent="0.3">
      <c r="A8" s="3" t="s">
        <v>236</v>
      </c>
      <c r="B8" s="2">
        <f>SUMIF(Data_Interim!$B:$B,$A8,Data_Interim!L:L)</f>
        <v>28811684</v>
      </c>
      <c r="C8" s="2">
        <f>SUMIF(Data_Interim!$B:$B,$A8,Data_Interim!M:M)</f>
        <v>28714125</v>
      </c>
      <c r="D8" s="2">
        <f>SUMIF(Data_Interim!$B:$B,$A8,Data_Interim!N:N)</f>
        <v>27610382</v>
      </c>
      <c r="E8" s="2">
        <f>SUMIF(Data_Interim!$B:$B,$A8,Data_Interim!O:O)</f>
        <v>24450182.005381335</v>
      </c>
      <c r="F8" s="141">
        <f>SUMIF(Data_Interim!$B:$B,$A8,Data_Interim!P:P)</f>
        <v>26835941.658193842</v>
      </c>
      <c r="G8" s="52">
        <f t="shared" si="0"/>
        <v>9.3691840057768178E-2</v>
      </c>
      <c r="H8" s="53">
        <f t="shared" si="1"/>
        <v>2385759.652812507</v>
      </c>
      <c r="I8" s="52" t="str">
        <f t="shared" si="2"/>
        <v>▲</v>
      </c>
      <c r="J8" s="52">
        <f t="shared" si="3"/>
        <v>9.7576355557902117E-2</v>
      </c>
    </row>
    <row r="9" spans="1:10" ht="28.8" x14ac:dyDescent="0.3">
      <c r="A9" s="3" t="s">
        <v>237</v>
      </c>
      <c r="B9" s="2">
        <f>SUMIF(Data_Interim!$B:$B,$A9,Data_Interim!L:L)</f>
        <v>197374</v>
      </c>
      <c r="C9" s="2">
        <f>SUMIF(Data_Interim!$B:$B,$A9,Data_Interim!M:M)</f>
        <v>197374</v>
      </c>
      <c r="D9" s="2">
        <f>SUMIF(Data_Interim!$B:$B,$A9,Data_Interim!N:N)</f>
        <v>197373</v>
      </c>
      <c r="E9" s="2">
        <f>SUMIF(Data_Interim!$B:$B,$A9,Data_Interim!O:O)</f>
        <v>196973.90000000037</v>
      </c>
      <c r="F9" s="141">
        <f>SUMIF(Data_Interim!$B:$B,$A9,Data_Interim!P:P)</f>
        <v>196964.40000000037</v>
      </c>
      <c r="G9" s="52">
        <f t="shared" si="0"/>
        <v>6.8765826431284348E-4</v>
      </c>
      <c r="H9" s="53">
        <f t="shared" si="1"/>
        <v>-9.5</v>
      </c>
      <c r="I9" s="52" t="str">
        <f t="shared" si="2"/>
        <v>▼</v>
      </c>
      <c r="J9" s="52">
        <f t="shared" si="3"/>
        <v>-4.822974008233949E-5</v>
      </c>
    </row>
    <row r="10" spans="1:10" ht="15" thickBot="1" x14ac:dyDescent="0.35">
      <c r="A10" s="2" t="s">
        <v>238</v>
      </c>
      <c r="B10" s="2">
        <f>SUMIF(Data_Interim!$B:$B,$A10,Data_Interim!L:L)</f>
        <v>6254</v>
      </c>
      <c r="C10" s="2">
        <f>SUMIF(Data_Interim!$B:$B,$A10,Data_Interim!M:M)</f>
        <v>6361</v>
      </c>
      <c r="D10" s="2">
        <f>SUMIF(Data_Interim!$B:$B,$A10,Data_Interim!N:N)</f>
        <v>258518</v>
      </c>
      <c r="E10" s="2">
        <f>SUMIF(Data_Interim!$B:$B,$A10,Data_Interim!O:O)</f>
        <v>167339.75</v>
      </c>
      <c r="F10" s="141">
        <f>SUMIF(Data_Interim!$B:$B,$A10,Data_Interim!P:P)</f>
        <v>100000</v>
      </c>
      <c r="G10" s="52">
        <f t="shared" si="0"/>
        <v>3.4912819997565153E-4</v>
      </c>
      <c r="H10" s="53">
        <f t="shared" si="1"/>
        <v>-67339.75</v>
      </c>
      <c r="I10" s="52" t="str">
        <f t="shared" si="2"/>
        <v>▼</v>
      </c>
      <c r="J10" s="52">
        <f t="shared" si="3"/>
        <v>-0.4024133536711989</v>
      </c>
    </row>
    <row r="11" spans="1:10" ht="15" thickBot="1" x14ac:dyDescent="0.35">
      <c r="A11" s="4" t="s">
        <v>5</v>
      </c>
      <c r="B11" s="5">
        <f>SUM(B4:B10)</f>
        <v>268107761</v>
      </c>
      <c r="C11" s="5">
        <f t="shared" ref="C11" si="4">SUM(C4:C10)</f>
        <v>253211808</v>
      </c>
      <c r="D11" s="5">
        <f t="shared" ref="D11" si="5">SUM(D4:D10)</f>
        <v>211038260</v>
      </c>
      <c r="E11" s="5">
        <f t="shared" ref="E11" si="6">SUM(E4:E10)</f>
        <v>189352813.5136849</v>
      </c>
      <c r="F11" s="142">
        <f>SUM(F4:F10)</f>
        <v>178046798.22238484</v>
      </c>
      <c r="G11" s="6">
        <f t="shared" ref="G11:G20" si="7">F11/$F$19</f>
        <v>0.6216115817480925</v>
      </c>
      <c r="H11" s="5">
        <f t="shared" ref="H11:H37" si="8">F11-E11</f>
        <v>-11306015.291300058</v>
      </c>
      <c r="I11" s="37" t="str">
        <f t="shared" ref="I11:I37" si="9">IF(F11&gt;E11,"▲",IF(F11=E11,"▬","▼"))</f>
        <v>▼</v>
      </c>
      <c r="J11" s="6">
        <f t="shared" ref="J11:J37" si="10">IF(ISERROR(F11/E11-100%),"",F11/E11-100%)</f>
        <v>-5.9708726168375414E-2</v>
      </c>
    </row>
    <row r="12" spans="1:10" x14ac:dyDescent="0.3">
      <c r="A12" s="79" t="s">
        <v>239</v>
      </c>
      <c r="B12" s="2">
        <f>SUMIF(Data_Interim!$B:$B,$A12,Data_Interim!L:L)</f>
        <v>36009294</v>
      </c>
      <c r="C12" s="2">
        <f>SUMIF(Data_Interim!$B:$B,$A12,Data_Interim!M:M)</f>
        <v>34009209</v>
      </c>
      <c r="D12" s="2">
        <f>SUMIF(Data_Interim!$B:$B,$A12,Data_Interim!N:N)</f>
        <v>40138912</v>
      </c>
      <c r="E12" s="2">
        <f>SUMIF(Data_Interim!$B:$B,$A12,Data_Interim!O:O)</f>
        <v>40101052.917837135</v>
      </c>
      <c r="F12" s="141">
        <f>SUMIF(Data_Interim!$B:$B,$A12,Data_Interim!P:P)</f>
        <v>44513865.07965675</v>
      </c>
      <c r="G12" s="52">
        <f t="shared" si="7"/>
        <v>0.15541045589219574</v>
      </c>
      <c r="H12" s="53">
        <f t="shared" si="8"/>
        <v>4412812.1618196145</v>
      </c>
      <c r="I12" s="52" t="str">
        <f t="shared" si="9"/>
        <v>▲</v>
      </c>
      <c r="J12" s="52">
        <f t="shared" si="10"/>
        <v>0.11004230165379969</v>
      </c>
    </row>
    <row r="13" spans="1:10" x14ac:dyDescent="0.3">
      <c r="A13" s="79" t="s">
        <v>7</v>
      </c>
      <c r="B13" s="2">
        <f>SUMIF(Data_Interim!$B:$B,$A13,Data_Interim!L:L)</f>
        <v>34231764</v>
      </c>
      <c r="C13" s="2">
        <f>SUMIF(Data_Interim!$B:$B,$A13,Data_Interim!M:M)</f>
        <v>39881251</v>
      </c>
      <c r="D13" s="2">
        <f>SUMIF(Data_Interim!$B:$B,$A13,Data_Interim!N:N)</f>
        <v>37168375</v>
      </c>
      <c r="E13" s="2">
        <f>SUMIF(Data_Interim!$B:$B,$A13,Data_Interim!O:O)</f>
        <v>40892115.768005952</v>
      </c>
      <c r="F13" s="141">
        <f>SUMIF(Data_Interim!$B:$B,$A13,Data_Interim!P:P)</f>
        <v>52669438.835505955</v>
      </c>
      <c r="G13" s="52">
        <f t="shared" si="7"/>
        <v>0.18388386374367871</v>
      </c>
      <c r="H13" s="53">
        <f t="shared" si="8"/>
        <v>11777323.067500003</v>
      </c>
      <c r="I13" s="52" t="str">
        <f t="shared" si="9"/>
        <v>▲</v>
      </c>
      <c r="J13" s="52">
        <f t="shared" si="10"/>
        <v>0.28800962841630695</v>
      </c>
    </row>
    <row r="14" spans="1:10" x14ac:dyDescent="0.3">
      <c r="A14" s="79" t="s">
        <v>240</v>
      </c>
      <c r="B14" s="2">
        <f>SUMIF(Data_Interim!$B:$B,$A14,Data_Interim!L:L)</f>
        <v>0</v>
      </c>
      <c r="C14" s="2">
        <f>SUMIF(Data_Interim!$B:$B,$A14,Data_Interim!M:M)</f>
        <v>0</v>
      </c>
      <c r="D14" s="2">
        <f>SUMIF(Data_Interim!$B:$B,$A14,Data_Interim!N:N)</f>
        <v>0</v>
      </c>
      <c r="E14" s="2">
        <f>SUMIF(Data_Interim!$B:$B,$A14,Data_Interim!O:O)</f>
        <v>43.550000000046566</v>
      </c>
      <c r="F14" s="141">
        <f>SUMIF(Data_Interim!$B:$B,$A14,Data_Interim!P:P)</f>
        <v>181047.45</v>
      </c>
      <c r="G14" s="52">
        <f t="shared" si="7"/>
        <v>6.3208770328681782E-4</v>
      </c>
      <c r="H14" s="53">
        <f t="shared" si="8"/>
        <v>181003.89999999997</v>
      </c>
      <c r="I14" s="52" t="str">
        <f t="shared" si="9"/>
        <v>▲</v>
      </c>
      <c r="J14" s="52">
        <f>IF(ISERROR(F14/E14-100%),"",F14/E14-100%)</f>
        <v>4156.2319173319502</v>
      </c>
    </row>
    <row r="15" spans="1:10" x14ac:dyDescent="0.3">
      <c r="A15" s="174" t="s">
        <v>241</v>
      </c>
      <c r="B15" s="7">
        <f>SUMIF(Data_Interim!$B:$B,$A15,Data_Interim!L:L)</f>
        <v>296538</v>
      </c>
      <c r="C15" s="7">
        <f>SUMIF(Data_Interim!$B:$B,$A15,Data_Interim!M:M)</f>
        <v>1883483</v>
      </c>
      <c r="D15" s="7">
        <f>SUMIF(Data_Interim!$B:$B,$A15,Data_Interim!N:N)</f>
        <v>1622153</v>
      </c>
      <c r="E15" s="7">
        <f>SUMIF(Data_Interim!$B:$B,$A15,Data_Interim!O:O)</f>
        <v>1250852.3915500001</v>
      </c>
      <c r="F15" s="143">
        <f>SUMIF(Data_Interim!$B:$B,$A15,Data_Interim!P:P)</f>
        <v>2404556.0465500001</v>
      </c>
      <c r="G15" s="52">
        <f t="shared" si="7"/>
        <v>8.3949832427257058E-3</v>
      </c>
      <c r="H15" s="53">
        <f t="shared" si="8"/>
        <v>1153703.655</v>
      </c>
      <c r="I15" s="52" t="str">
        <f t="shared" si="9"/>
        <v>▲</v>
      </c>
      <c r="J15" s="52">
        <f t="shared" si="10"/>
        <v>0.92233397225261915</v>
      </c>
    </row>
    <row r="16" spans="1:10" x14ac:dyDescent="0.3">
      <c r="A16" s="79" t="s">
        <v>242</v>
      </c>
      <c r="B16" s="2">
        <f>SUMIF(Data_Interim!$B:$B,$A16,Data_Interim!L:L)</f>
        <v>10567884</v>
      </c>
      <c r="C16" s="2">
        <f>SUMIF(Data_Interim!$B:$B,$A16,Data_Interim!M:M)</f>
        <v>14056158</v>
      </c>
      <c r="D16" s="2">
        <f>SUMIF(Data_Interim!$B:$B,$A16,Data_Interim!N:N)</f>
        <v>5670981</v>
      </c>
      <c r="E16" s="2">
        <f>SUMIF(Data_Interim!$B:$B,$A16,Data_Interim!O:O)</f>
        <v>11943351.82739</v>
      </c>
      <c r="F16" s="141">
        <f>SUMIF(Data_Interim!$B:$B,$A16,Data_Interim!P:P)</f>
        <v>8541185.6730070002</v>
      </c>
      <c r="G16" s="52">
        <f t="shared" si="7"/>
        <v>2.9819687796747579E-2</v>
      </c>
      <c r="H16" s="53">
        <f t="shared" si="8"/>
        <v>-3402166.154383</v>
      </c>
      <c r="I16" s="52" t="str">
        <f t="shared" si="9"/>
        <v>▼</v>
      </c>
      <c r="J16" s="52">
        <f t="shared" si="10"/>
        <v>-0.28485857266472914</v>
      </c>
    </row>
    <row r="17" spans="1:10" ht="15" thickBot="1" x14ac:dyDescent="0.35">
      <c r="A17" s="79" t="s">
        <v>165</v>
      </c>
      <c r="B17" s="2">
        <f>SUMIF(Data_Interim!$B:$B,$A17,Data_Interim!L:L)</f>
        <v>0</v>
      </c>
      <c r="C17" s="2">
        <f>SUMIF(Data_Interim!$B:$B,$A17,Data_Interim!M:M)</f>
        <v>0</v>
      </c>
      <c r="D17" s="2">
        <f>SUMIF(Data_Interim!$B:$B,$A17,Data_Interim!N:N)</f>
        <v>15607875</v>
      </c>
      <c r="E17" s="2">
        <f>SUMIF(Data_Interim!$B:$B,$A17,Data_Interim!O:O)</f>
        <v>2576681.58</v>
      </c>
      <c r="F17" s="141">
        <f>SUMIF(Data_Interim!$B:$B,$A17,Data_Interim!P:P)</f>
        <v>70845</v>
      </c>
      <c r="G17" s="52">
        <f t="shared" si="7"/>
        <v>2.4733987327275035E-4</v>
      </c>
      <c r="H17" s="53">
        <f t="shared" si="8"/>
        <v>-2505836.58</v>
      </c>
      <c r="I17" s="52" t="str">
        <f t="shared" si="9"/>
        <v>▼</v>
      </c>
      <c r="J17" s="52">
        <f t="shared" si="10"/>
        <v>-0.97250533377896076</v>
      </c>
    </row>
    <row r="18" spans="1:10" ht="15" thickBot="1" x14ac:dyDescent="0.35">
      <c r="A18" s="4" t="s">
        <v>8</v>
      </c>
      <c r="B18" s="5">
        <f>SUM(B12:B17)</f>
        <v>81105480</v>
      </c>
      <c r="C18" s="5">
        <f>SUM(C12:C17)</f>
        <v>89830101</v>
      </c>
      <c r="D18" s="5">
        <f>SUM(D12:D17)</f>
        <v>100208296</v>
      </c>
      <c r="E18" s="5">
        <f>SUM(E12:E17)</f>
        <v>96764098.03478308</v>
      </c>
      <c r="F18" s="142">
        <f>SUM(F12:F17)</f>
        <v>108380938.08471972</v>
      </c>
      <c r="G18" s="6">
        <f t="shared" si="7"/>
        <v>0.37838841825190733</v>
      </c>
      <c r="H18" s="5">
        <f t="shared" si="8"/>
        <v>11616840.049936637</v>
      </c>
      <c r="I18" s="37" t="str">
        <f t="shared" si="9"/>
        <v>▲</v>
      </c>
      <c r="J18" s="6">
        <f t="shared" si="10"/>
        <v>0.12005320450319101</v>
      </c>
    </row>
    <row r="19" spans="1:10" ht="15" thickBot="1" x14ac:dyDescent="0.35">
      <c r="A19" s="4" t="s">
        <v>10</v>
      </c>
      <c r="B19" s="5">
        <f>B18+B11</f>
        <v>349213241</v>
      </c>
      <c r="C19" s="5">
        <f>C18+C11</f>
        <v>343041909</v>
      </c>
      <c r="D19" s="5">
        <f>D18+D11</f>
        <v>311246556</v>
      </c>
      <c r="E19" s="5">
        <f>E18+E11</f>
        <v>286116911.54846799</v>
      </c>
      <c r="F19" s="142">
        <f>F18+F11</f>
        <v>286427736.30710459</v>
      </c>
      <c r="G19" s="6">
        <f t="shared" si="7"/>
        <v>1</v>
      </c>
      <c r="H19" s="5">
        <f t="shared" si="8"/>
        <v>310824.75863659382</v>
      </c>
      <c r="I19" s="37" t="str">
        <f t="shared" si="9"/>
        <v>▲</v>
      </c>
      <c r="J19" s="6">
        <f t="shared" si="10"/>
        <v>1.0863557730802498E-3</v>
      </c>
    </row>
    <row r="20" spans="1:10" x14ac:dyDescent="0.3">
      <c r="A20" s="2" t="s">
        <v>12</v>
      </c>
      <c r="B20" s="2">
        <f>SUMIF(Data_Interim!$B:$B,$A20,Data_Interim!L:L)</f>
        <v>26412211</v>
      </c>
      <c r="C20" s="2">
        <f>SUMIF(Data_Interim!$B:$B,$A20,Data_Interim!M:M)</f>
        <v>26412211</v>
      </c>
      <c r="D20" s="2">
        <f>SUMIF(Data_Interim!$B:$B,$A20,Data_Interim!N:N)</f>
        <v>26412110</v>
      </c>
      <c r="E20" s="2">
        <f>SUMIF(Data_Interim!$B:$B,$A20,Data_Interim!O:O)</f>
        <v>26412210.343440004</v>
      </c>
      <c r="F20" s="141">
        <f>SUMIF(Data_Interim!$B:$B,$A20,Data_Interim!P:P)</f>
        <v>26412210.343440004</v>
      </c>
      <c r="G20" s="52">
        <f t="shared" si="7"/>
        <v>9.2212474545834935E-2</v>
      </c>
      <c r="H20" s="53">
        <f t="shared" si="8"/>
        <v>0</v>
      </c>
      <c r="I20" s="52" t="str">
        <f t="shared" si="9"/>
        <v>▬</v>
      </c>
      <c r="J20" s="52">
        <f t="shared" si="10"/>
        <v>0</v>
      </c>
    </row>
    <row r="21" spans="1:10" x14ac:dyDescent="0.3">
      <c r="A21" s="2" t="s">
        <v>197</v>
      </c>
      <c r="B21" s="2">
        <f>SUMIF(Data_Interim!$B:$B,$A21,Data_Interim!L:L)</f>
        <v>2182283</v>
      </c>
      <c r="C21" s="2">
        <f>SUMIF(Data_Interim!$B:$B,$A21,Data_Interim!M:M)</f>
        <v>2182283</v>
      </c>
      <c r="D21" s="2">
        <f>SUMIF(Data_Interim!$B:$B,$A21,Data_Interim!N:N)</f>
        <v>2182283</v>
      </c>
      <c r="E21" s="2">
        <f>SUMIF(Data_Interim!$B:$B,$A21,Data_Interim!O:O)</f>
        <v>2182283</v>
      </c>
      <c r="F21" s="141">
        <f>SUMIF(Data_Interim!$B:$B,$A21,Data_Interim!P:P)</f>
        <v>2182283</v>
      </c>
      <c r="G21" s="52">
        <f t="shared" ref="G21:G23" si="11">F21/$F$19</f>
        <v>7.6189653562746479E-3</v>
      </c>
      <c r="H21" s="53">
        <f t="shared" ref="H21:H23" si="12">F21-E21</f>
        <v>0</v>
      </c>
      <c r="I21" s="52" t="str">
        <f t="shared" ref="I21:I23" si="13">IF(F21&gt;E21,"▲",IF(F21=E21,"▬","▼"))</f>
        <v>▬</v>
      </c>
      <c r="J21" s="52">
        <f t="shared" ref="J21:J23" si="14">IF(ISERROR(F21/E21-100%),"",F21/E21-100%)</f>
        <v>0</v>
      </c>
    </row>
    <row r="22" spans="1:10" x14ac:dyDescent="0.3">
      <c r="A22" s="2" t="s">
        <v>15</v>
      </c>
      <c r="B22" s="2">
        <f>SUMIF(Data_Interim!$B:$B,$A22,Data_Interim!L:L)</f>
        <v>55531564</v>
      </c>
      <c r="C22" s="2">
        <f>SUMIF(Data_Interim!$B:$B,$A22,Data_Interim!M:M)</f>
        <v>54472464</v>
      </c>
      <c r="D22" s="2">
        <f>SUMIF(Data_Interim!$B:$B,$A22,Data_Interim!N:N)</f>
        <v>59434062</v>
      </c>
      <c r="E22" s="2">
        <f>SUMIF(Data_Interim!$B:$B,$A22,Data_Interim!O:O)</f>
        <v>59790294.013682067</v>
      </c>
      <c r="F22" s="141">
        <f>SUMIF(Data_Interim!$B:$B,$A22,Data_Interim!P:P)</f>
        <v>60919829.809163399</v>
      </c>
      <c r="G22" s="52">
        <f t="shared" si="11"/>
        <v>0.21268830524096258</v>
      </c>
      <c r="H22" s="53">
        <f t="shared" si="12"/>
        <v>1129535.7954813316</v>
      </c>
      <c r="I22" s="52" t="str">
        <f t="shared" si="13"/>
        <v>▲</v>
      </c>
      <c r="J22" s="52">
        <f t="shared" si="14"/>
        <v>1.8891624704552523E-2</v>
      </c>
    </row>
    <row r="23" spans="1:10" x14ac:dyDescent="0.3">
      <c r="A23" s="2" t="s">
        <v>16</v>
      </c>
      <c r="B23" s="2">
        <f>SUMIF(Data_Interim!$B:$B,$A23,Data_Interim!L:L)</f>
        <v>63416916</v>
      </c>
      <c r="C23" s="2">
        <f>SUMIF(Data_Interim!$B:$B,$A23,Data_Interim!M:M)</f>
        <v>64637293</v>
      </c>
      <c r="D23" s="2">
        <f>SUMIF(Data_Interim!$B:$B,$A23,Data_Interim!N:N)</f>
        <v>51863731</v>
      </c>
      <c r="E23" s="2">
        <f>SUMIF(Data_Interim!$B:$B,$A23,Data_Interim!O:O)</f>
        <v>48287043.513360359</v>
      </c>
      <c r="F23" s="141">
        <f>SUMIF(Data_Interim!$B:$B,$A23,Data_Interim!P:P)</f>
        <v>51180502.701539703</v>
      </c>
      <c r="G23" s="52">
        <f t="shared" si="11"/>
        <v>0.17868556782037529</v>
      </c>
      <c r="H23" s="53">
        <f t="shared" si="12"/>
        <v>2893459.1881793439</v>
      </c>
      <c r="I23" s="52" t="str">
        <f t="shared" si="13"/>
        <v>▲</v>
      </c>
      <c r="J23" s="52">
        <f t="shared" si="14"/>
        <v>5.9922061440327523E-2</v>
      </c>
    </row>
    <row r="24" spans="1:10" x14ac:dyDescent="0.3">
      <c r="A24" s="2" t="s">
        <v>198</v>
      </c>
      <c r="B24" s="2">
        <f>SUM(B20:B23)</f>
        <v>147542974</v>
      </c>
      <c r="C24" s="2">
        <f t="shared" ref="C24:F24" si="15">SUM(C20:C23)</f>
        <v>147704251</v>
      </c>
      <c r="D24" s="2">
        <f t="shared" si="15"/>
        <v>139892186</v>
      </c>
      <c r="E24" s="2">
        <f t="shared" si="15"/>
        <v>136671830.87048241</v>
      </c>
      <c r="F24" s="141">
        <f t="shared" si="15"/>
        <v>140694825.85414311</v>
      </c>
      <c r="G24" s="52">
        <f t="shared" ref="G24:G37" si="16">F24/$F$19</f>
        <v>0.49120531296344744</v>
      </c>
      <c r="H24" s="53">
        <f t="shared" si="8"/>
        <v>4022994.9836606979</v>
      </c>
      <c r="I24" s="52" t="str">
        <f t="shared" si="9"/>
        <v>▲</v>
      </c>
      <c r="J24" s="52">
        <f t="shared" si="10"/>
        <v>2.9435436388300928E-2</v>
      </c>
    </row>
    <row r="25" spans="1:10" ht="15" thickBot="1" x14ac:dyDescent="0.35">
      <c r="A25" s="2" t="s">
        <v>200</v>
      </c>
      <c r="B25" s="2">
        <f>SUMIF(Data_Interim!$B:$B,$A25,Data_Interim!L:L)</f>
        <v>1047246</v>
      </c>
      <c r="C25" s="2">
        <f>SUMIF(Data_Interim!$B:$B,$A25,Data_Interim!M:M)</f>
        <v>979401</v>
      </c>
      <c r="D25" s="2">
        <f>SUMIF(Data_Interim!$B:$B,$A25,Data_Interim!N:N)</f>
        <v>918613</v>
      </c>
      <c r="E25" s="2">
        <f>SUMIF(Data_Interim!$B:$B,$A25,Data_Interim!O:O)</f>
        <v>909560.97108332929</v>
      </c>
      <c r="F25" s="141">
        <f>SUMIF(Data_Interim!$B:$B,$A25,Data_Interim!P:P)</f>
        <v>917037.70957776741</v>
      </c>
      <c r="G25" s="52">
        <f t="shared" si="16"/>
        <v>3.2016372485468023E-3</v>
      </c>
      <c r="H25" s="53">
        <f t="shared" ref="H25" si="17">F25-E25</f>
        <v>7476.7384944381192</v>
      </c>
      <c r="I25" s="52" t="str">
        <f t="shared" ref="I25" si="18">IF(F25&gt;E25,"▲",IF(F25=E25,"▬","▼"))</f>
        <v>▲</v>
      </c>
      <c r="J25" s="52">
        <f t="shared" ref="J25" si="19">IF(ISERROR(F25/E25-100%),"",F25/E25-100%)</f>
        <v>8.2201619596022901E-3</v>
      </c>
    </row>
    <row r="26" spans="1:10" ht="15" thickBot="1" x14ac:dyDescent="0.35">
      <c r="A26" s="4" t="s">
        <v>18</v>
      </c>
      <c r="B26" s="5">
        <f>SUM(B24:B25)</f>
        <v>148590220</v>
      </c>
      <c r="C26" s="5">
        <f t="shared" ref="C26:F26" si="20">SUM(C24:C25)</f>
        <v>148683652</v>
      </c>
      <c r="D26" s="5">
        <f t="shared" si="20"/>
        <v>140810799</v>
      </c>
      <c r="E26" s="5">
        <f t="shared" si="20"/>
        <v>137581391.84156576</v>
      </c>
      <c r="F26" s="142">
        <f t="shared" si="20"/>
        <v>141611863.56372088</v>
      </c>
      <c r="G26" s="6">
        <f t="shared" si="16"/>
        <v>0.49440695021199427</v>
      </c>
      <c r="H26" s="5">
        <f t="shared" si="8"/>
        <v>4030471.7221551239</v>
      </c>
      <c r="I26" s="37" t="str">
        <f t="shared" si="9"/>
        <v>▲</v>
      </c>
      <c r="J26" s="6">
        <f t="shared" si="10"/>
        <v>2.9295180606956572E-2</v>
      </c>
    </row>
    <row r="27" spans="1:10" x14ac:dyDescent="0.3">
      <c r="A27" s="2" t="s">
        <v>244</v>
      </c>
      <c r="B27" s="2">
        <f>SUMIF(Data_Interim!$B:$B,$A27,Data_Interim!L:L)</f>
        <v>265127</v>
      </c>
      <c r="C27" s="2">
        <f>SUMIF(Data_Interim!$B:$B,$A27,Data_Interim!M:M)</f>
        <v>263965</v>
      </c>
      <c r="D27" s="2">
        <f>SUMIF(Data_Interim!$B:$B,$A27,Data_Interim!N:N)</f>
        <v>283594</v>
      </c>
      <c r="E27" s="2">
        <f>SUMIF(Data_Interim!$B:$B,$A27,Data_Interim!O:O)</f>
        <v>248808.238247</v>
      </c>
      <c r="F27" s="141">
        <f>SUMIF(Data_Interim!$B:$B,$A27,Data_Interim!P:P)</f>
        <v>446038</v>
      </c>
      <c r="G27" s="52">
        <f t="shared" si="16"/>
        <v>1.5572444406073967E-3</v>
      </c>
      <c r="H27" s="53">
        <f t="shared" si="8"/>
        <v>197229.761753</v>
      </c>
      <c r="I27" s="52" t="str">
        <f t="shared" si="9"/>
        <v>▲</v>
      </c>
      <c r="J27" s="52">
        <f t="shared" si="10"/>
        <v>0.79269787504866951</v>
      </c>
    </row>
    <row r="28" spans="1:10" x14ac:dyDescent="0.3">
      <c r="A28" s="2" t="s">
        <v>204</v>
      </c>
      <c r="B28" s="2">
        <f>SUMIF(Data_Interim!$B:$B,$A28,Data_Interim!L:L)</f>
        <v>10468240</v>
      </c>
      <c r="C28" s="2">
        <f>SUMIF(Data_Interim!$B:$B,$A28,Data_Interim!M:M)</f>
        <v>10758395</v>
      </c>
      <c r="D28" s="2">
        <f>SUMIF(Data_Interim!$B:$B,$A28,Data_Interim!N:N)</f>
        <v>8897478</v>
      </c>
      <c r="E28" s="2">
        <f>SUMIF(Data_Interim!$B:$B,$A28,Data_Interim!O:O)</f>
        <v>8364029</v>
      </c>
      <c r="F28" s="141">
        <f>SUMIF(Data_Interim!$B:$B,$A28,Data_Interim!P:P)</f>
        <v>7857468</v>
      </c>
      <c r="G28" s="52">
        <f t="shared" si="16"/>
        <v>2.7432636592062829E-2</v>
      </c>
      <c r="H28" s="53">
        <f t="shared" si="8"/>
        <v>-506561</v>
      </c>
      <c r="I28" s="52" t="str">
        <f t="shared" si="9"/>
        <v>▼</v>
      </c>
      <c r="J28" s="52">
        <f t="shared" si="10"/>
        <v>-6.0564232859546485E-2</v>
      </c>
    </row>
    <row r="29" spans="1:10" x14ac:dyDescent="0.3">
      <c r="A29" s="2" t="s">
        <v>168</v>
      </c>
      <c r="B29" s="2">
        <f>SUMIF(Data_Interim!$B:$B,$A29,Data_Interim!L:L)</f>
        <v>54170834</v>
      </c>
      <c r="C29" s="2">
        <f>SUMIF(Data_Interim!$B:$B,$A29,Data_Interim!M:M)</f>
        <v>46066321</v>
      </c>
      <c r="D29" s="2">
        <f>SUMIF(Data_Interim!$B:$B,$A29,Data_Interim!N:N)</f>
        <v>31878206</v>
      </c>
      <c r="E29" s="2">
        <f>SUMIF(Data_Interim!$B:$B,$A29,Data_Interim!O:O)</f>
        <v>18355812.917566981</v>
      </c>
      <c r="F29" s="141">
        <f>SUMIF(Data_Interim!$B:$B,$A29,Data_Interim!P:P)</f>
        <v>12673742.65</v>
      </c>
      <c r="G29" s="52">
        <f t="shared" si="16"/>
        <v>4.4247609583491443E-2</v>
      </c>
      <c r="H29" s="53">
        <f t="shared" si="8"/>
        <v>-5682070.2675669808</v>
      </c>
      <c r="I29" s="52" t="str">
        <f t="shared" si="9"/>
        <v>▼</v>
      </c>
      <c r="J29" s="52">
        <f t="shared" si="10"/>
        <v>-0.30955154604616253</v>
      </c>
    </row>
    <row r="30" spans="1:10" ht="15" thickBot="1" x14ac:dyDescent="0.35">
      <c r="A30" s="2" t="s">
        <v>245</v>
      </c>
      <c r="B30" s="2">
        <f>SUMIF(Data_Interim!$B:$B,$A30,Data_Interim!L:L)</f>
        <v>33223928</v>
      </c>
      <c r="C30" s="2">
        <f>SUMIF(Data_Interim!$B:$B,$A30,Data_Interim!M:M)</f>
        <v>29275489</v>
      </c>
      <c r="D30" s="2">
        <f>SUMIF(Data_Interim!$B:$B,$A30,Data_Interim!N:N)</f>
        <v>25291889</v>
      </c>
      <c r="E30" s="2">
        <f>SUMIF(Data_Interim!$B:$B,$A30,Data_Interim!O:O)</f>
        <v>21632216.100000001</v>
      </c>
      <c r="F30" s="141">
        <f>SUMIF(Data_Interim!$B:$B,$A30,Data_Interim!P:P)</f>
        <v>17888421.300000001</v>
      </c>
      <c r="G30" s="52">
        <f t="shared" si="16"/>
        <v>6.2453523288751048E-2</v>
      </c>
      <c r="H30" s="53">
        <f t="shared" si="8"/>
        <v>-3743794.8000000007</v>
      </c>
      <c r="I30" s="52" t="str">
        <f t="shared" si="9"/>
        <v>▼</v>
      </c>
      <c r="J30" s="52">
        <f t="shared" si="10"/>
        <v>-0.17306570823319389</v>
      </c>
    </row>
    <row r="31" spans="1:10" ht="15" thickBot="1" x14ac:dyDescent="0.35">
      <c r="A31" s="4" t="s">
        <v>21</v>
      </c>
      <c r="B31" s="5">
        <f>SUM(B27:B30)</f>
        <v>98128129</v>
      </c>
      <c r="C31" s="5">
        <f>SUM(C27:C30)</f>
        <v>86364170</v>
      </c>
      <c r="D31" s="5">
        <f>SUM(D27:D30)</f>
        <v>66351167</v>
      </c>
      <c r="E31" s="5">
        <f>SUM(E27:E30)</f>
        <v>48600866.255813986</v>
      </c>
      <c r="F31" s="142">
        <f>SUM(F27:F30)</f>
        <v>38865669.950000003</v>
      </c>
      <c r="G31" s="6">
        <f t="shared" si="16"/>
        <v>0.13569101390491273</v>
      </c>
      <c r="H31" s="5">
        <f t="shared" si="8"/>
        <v>-9735196.3058139831</v>
      </c>
      <c r="I31" s="37" t="str">
        <f t="shared" si="9"/>
        <v>▼</v>
      </c>
      <c r="J31" s="6">
        <f t="shared" si="10"/>
        <v>-0.20030911084119596</v>
      </c>
    </row>
    <row r="32" spans="1:10" x14ac:dyDescent="0.3">
      <c r="A32" s="2" t="s">
        <v>171</v>
      </c>
      <c r="B32" s="2">
        <f>SUMIF(Data_Interim!$B:$B,$A32,Data_Interim!L:L)</f>
        <v>42001479</v>
      </c>
      <c r="C32" s="2">
        <f>SUMIF(Data_Interim!$B:$B,$A32,Data_Interim!M:M)</f>
        <v>40960024</v>
      </c>
      <c r="D32" s="2">
        <f>SUMIF(Data_Interim!$B:$B,$A32,Data_Interim!N:N)</f>
        <v>41567656</v>
      </c>
      <c r="E32" s="2">
        <f>SUMIF(Data_Interim!$B:$B,$A32,Data_Interim!O:O)</f>
        <v>32835366.840300843</v>
      </c>
      <c r="F32" s="141">
        <f>SUMIF(Data_Interim!$B:$B,$A32,Data_Interim!P:P)</f>
        <v>42098362.805974856</v>
      </c>
      <c r="G32" s="52">
        <f t="shared" si="16"/>
        <v>0.14697725628371922</v>
      </c>
      <c r="H32" s="53">
        <f t="shared" si="8"/>
        <v>9262995.9656740129</v>
      </c>
      <c r="I32" s="52" t="str">
        <f t="shared" si="9"/>
        <v>▲</v>
      </c>
      <c r="J32" s="52">
        <f t="shared" si="10"/>
        <v>0.282104232632022</v>
      </c>
    </row>
    <row r="33" spans="1:10" x14ac:dyDescent="0.3">
      <c r="A33" s="2" t="s">
        <v>172</v>
      </c>
      <c r="B33" s="7">
        <f>SUMIF(Data_Interim!$B:$B,$A33,Data_Interim!L:L)</f>
        <v>52493556</v>
      </c>
      <c r="C33" s="7">
        <f>SUMIF(Data_Interim!$B:$B,$A33,Data_Interim!M:M)</f>
        <v>58939181</v>
      </c>
      <c r="D33" s="7">
        <f>SUMIF(Data_Interim!$B:$B,$A33,Data_Interim!N:N)</f>
        <v>53918723</v>
      </c>
      <c r="E33" s="7">
        <f>SUMIF(Data_Interim!$B:$B,$A33,Data_Interim!O:O)</f>
        <v>58800040.273814924</v>
      </c>
      <c r="F33" s="143">
        <f>SUMIF(Data_Interim!$B:$B,$A33,Data_Interim!P:P)</f>
        <v>54515120.590000004</v>
      </c>
      <c r="G33" s="52">
        <f t="shared" si="16"/>
        <v>0.1903276592304228</v>
      </c>
      <c r="H33" s="53">
        <f t="shared" si="8"/>
        <v>-4284919.6838149205</v>
      </c>
      <c r="I33" s="52" t="str">
        <f t="shared" si="9"/>
        <v>▼</v>
      </c>
      <c r="J33" s="52">
        <f t="shared" si="10"/>
        <v>-7.2872733825713021E-2</v>
      </c>
    </row>
    <row r="34" spans="1:10" ht="15" thickBot="1" x14ac:dyDescent="0.35">
      <c r="A34" s="2" t="s">
        <v>174</v>
      </c>
      <c r="B34" s="2">
        <f>SUMIF(Data_Interim!$B:$B,$A34,Data_Interim!L:L)</f>
        <v>7999858</v>
      </c>
      <c r="C34" s="2">
        <f>SUMIF(Data_Interim!$B:$B,$A34,Data_Interim!M:M)</f>
        <v>8094882</v>
      </c>
      <c r="D34" s="2">
        <f>SUMIF(Data_Interim!$B:$B,$A34,Data_Interim!N:N)</f>
        <v>8598211</v>
      </c>
      <c r="E34" s="2">
        <f>SUMIF(Data_Interim!$B:$B,$A34,Data_Interim!O:O)</f>
        <v>8299246.3358750008</v>
      </c>
      <c r="F34" s="141">
        <f>SUMIF(Data_Interim!$B:$B,$A34,Data_Interim!P:P)</f>
        <v>9336719.5558749996</v>
      </c>
      <c r="G34" s="52">
        <f t="shared" si="16"/>
        <v>3.2597120922201031E-2</v>
      </c>
      <c r="H34" s="53">
        <f t="shared" si="8"/>
        <v>1037473.2199999988</v>
      </c>
      <c r="I34" s="52" t="str">
        <f t="shared" si="9"/>
        <v>▲</v>
      </c>
      <c r="J34" s="52">
        <f t="shared" si="10"/>
        <v>0.12500812459504096</v>
      </c>
    </row>
    <row r="35" spans="1:10" ht="15" thickBot="1" x14ac:dyDescent="0.35">
      <c r="A35" s="4" t="s">
        <v>23</v>
      </c>
      <c r="B35" s="4">
        <f>SUM(B32:B34)-1</f>
        <v>102494892</v>
      </c>
      <c r="C35" s="4">
        <f>SUM(C32:C34)</f>
        <v>107994087</v>
      </c>
      <c r="D35" s="4">
        <f>SUM(D32:D34)</f>
        <v>104084590</v>
      </c>
      <c r="E35" s="4">
        <f>SUM(E32:E34)</f>
        <v>99934653.449990779</v>
      </c>
      <c r="F35" s="144">
        <f>SUM(F32:F34)</f>
        <v>105950202.95184986</v>
      </c>
      <c r="G35" s="6">
        <f t="shared" si="16"/>
        <v>0.36990203643634306</v>
      </c>
      <c r="H35" s="5">
        <f t="shared" si="8"/>
        <v>6015549.5018590838</v>
      </c>
      <c r="I35" s="37" t="str">
        <f t="shared" si="9"/>
        <v>▲</v>
      </c>
      <c r="J35" s="6">
        <f t="shared" si="10"/>
        <v>6.0194830263451848E-2</v>
      </c>
    </row>
    <row r="36" spans="1:10" ht="15" thickBot="1" x14ac:dyDescent="0.35">
      <c r="A36" s="4" t="s">
        <v>25</v>
      </c>
      <c r="B36" s="4">
        <f>B35+B31</f>
        <v>200623021</v>
      </c>
      <c r="C36" s="4">
        <f>C35+C31</f>
        <v>194358257</v>
      </c>
      <c r="D36" s="4">
        <f>D35+D31</f>
        <v>170435757</v>
      </c>
      <c r="E36" s="4">
        <f>E35+E31</f>
        <v>148535519.70580477</v>
      </c>
      <c r="F36" s="144">
        <f>F35+F31</f>
        <v>144815872.90184987</v>
      </c>
      <c r="G36" s="6">
        <f t="shared" si="16"/>
        <v>0.50559305034125579</v>
      </c>
      <c r="H36" s="5">
        <f t="shared" si="8"/>
        <v>-3719646.8039548993</v>
      </c>
      <c r="I36" s="37" t="str">
        <f t="shared" si="9"/>
        <v>▼</v>
      </c>
      <c r="J36" s="6">
        <f t="shared" si="10"/>
        <v>-2.5042136798808623E-2</v>
      </c>
    </row>
    <row r="37" spans="1:10" ht="15" thickBot="1" x14ac:dyDescent="0.35">
      <c r="A37" s="4" t="s">
        <v>27</v>
      </c>
      <c r="B37" s="4">
        <f>B36+B26</f>
        <v>349213241</v>
      </c>
      <c r="C37" s="4">
        <f>C36+C26</f>
        <v>343041909</v>
      </c>
      <c r="D37" s="4">
        <f>D36+D26</f>
        <v>311246556</v>
      </c>
      <c r="E37" s="4">
        <f>E36+E26</f>
        <v>286116911.54737055</v>
      </c>
      <c r="F37" s="144">
        <f>F36+F26</f>
        <v>286427736.46557075</v>
      </c>
      <c r="G37" s="6">
        <f t="shared" si="16"/>
        <v>1.0000000005532501</v>
      </c>
      <c r="H37" s="5">
        <f t="shared" si="8"/>
        <v>310824.91820019484</v>
      </c>
      <c r="I37" s="37" t="str">
        <f t="shared" si="9"/>
        <v>▲</v>
      </c>
      <c r="J37" s="6">
        <f t="shared" si="10"/>
        <v>1.0863563307712543E-3</v>
      </c>
    </row>
    <row r="39" spans="1:10" x14ac:dyDescent="0.3">
      <c r="A39" s="24" t="s">
        <v>41</v>
      </c>
      <c r="B39" s="29">
        <f>B37-B19</f>
        <v>0</v>
      </c>
      <c r="C39" s="29">
        <f>C37-C19</f>
        <v>0</v>
      </c>
      <c r="D39" s="29">
        <f>D37-D19</f>
        <v>0</v>
      </c>
      <c r="E39" s="29">
        <f>E37-E19</f>
        <v>-1.0974407196044922E-3</v>
      </c>
      <c r="F39" s="29">
        <f>F37-F19</f>
        <v>0.1584661602973938</v>
      </c>
    </row>
    <row r="41" spans="1:10" x14ac:dyDescent="0.3">
      <c r="A41" s="49"/>
    </row>
    <row r="42" spans="1:10" x14ac:dyDescent="0.3">
      <c r="B42" s="29"/>
      <c r="C42" s="29"/>
      <c r="D42" s="29"/>
      <c r="E42" s="29"/>
      <c r="F42" s="29"/>
    </row>
    <row r="43" spans="1:10" x14ac:dyDescent="0.3">
      <c r="B43" s="29"/>
      <c r="C43" s="29"/>
      <c r="D43" s="29"/>
      <c r="E43" s="29"/>
      <c r="F43" s="29"/>
    </row>
    <row r="44" spans="1:10" x14ac:dyDescent="0.3">
      <c r="B44" s="29"/>
      <c r="C44" s="29"/>
      <c r="D44" s="29"/>
      <c r="E44" s="29"/>
      <c r="F44" s="29"/>
    </row>
    <row r="45" spans="1:10" x14ac:dyDescent="0.3">
      <c r="B45" s="29"/>
      <c r="C45" s="29"/>
      <c r="D45" s="29"/>
      <c r="E45" s="29"/>
      <c r="F45" s="29"/>
    </row>
    <row r="46" spans="1:10" x14ac:dyDescent="0.3">
      <c r="B46" s="29"/>
      <c r="C46" s="29"/>
      <c r="D46" s="29"/>
      <c r="E46" s="29"/>
      <c r="F46" s="29"/>
    </row>
    <row r="47" spans="1:10" x14ac:dyDescent="0.3">
      <c r="B47" s="29"/>
      <c r="C47" s="29"/>
      <c r="D47" s="29"/>
      <c r="E47" s="29"/>
      <c r="F47" s="29"/>
    </row>
    <row r="48" spans="1:10" x14ac:dyDescent="0.3">
      <c r="B48" s="29"/>
      <c r="C48" s="29"/>
      <c r="D48" s="29"/>
      <c r="E48" s="29"/>
      <c r="F48" s="29"/>
    </row>
    <row r="49" spans="2:6" x14ac:dyDescent="0.3">
      <c r="B49" s="29"/>
      <c r="C49" s="29"/>
      <c r="D49" s="29"/>
      <c r="E49" s="29"/>
      <c r="F49" s="29"/>
    </row>
    <row r="50" spans="2:6" x14ac:dyDescent="0.3">
      <c r="B50" s="29"/>
      <c r="C50" s="29"/>
      <c r="D50" s="29"/>
      <c r="E50" s="29"/>
      <c r="F50" s="29"/>
    </row>
    <row r="51" spans="2:6" x14ac:dyDescent="0.3">
      <c r="B51" s="29"/>
      <c r="C51" s="29"/>
      <c r="D51" s="29"/>
      <c r="E51" s="29"/>
      <c r="F51" s="29"/>
    </row>
    <row r="52" spans="2:6" x14ac:dyDescent="0.3">
      <c r="B52" s="29"/>
      <c r="C52" s="29"/>
      <c r="D52" s="29"/>
      <c r="E52" s="29"/>
      <c r="F52" s="29"/>
    </row>
    <row r="53" spans="2:6" x14ac:dyDescent="0.3">
      <c r="B53" s="29"/>
      <c r="C53" s="29"/>
      <c r="D53" s="29"/>
      <c r="E53" s="29"/>
      <c r="F53" s="29"/>
    </row>
    <row r="54" spans="2:6" x14ac:dyDescent="0.3">
      <c r="B54" s="29"/>
      <c r="C54" s="29"/>
      <c r="D54" s="29"/>
      <c r="E54" s="29"/>
      <c r="F54" s="29"/>
    </row>
    <row r="55" spans="2:6" x14ac:dyDescent="0.3">
      <c r="B55" s="29"/>
      <c r="C55" s="29"/>
      <c r="D55" s="29"/>
      <c r="E55" s="29"/>
      <c r="F55" s="29"/>
    </row>
    <row r="56" spans="2:6" x14ac:dyDescent="0.3">
      <c r="B56" s="29"/>
      <c r="C56" s="29"/>
      <c r="D56" s="29"/>
      <c r="E56" s="29"/>
      <c r="F56" s="29"/>
    </row>
    <row r="57" spans="2:6" x14ac:dyDescent="0.3">
      <c r="B57" s="29"/>
      <c r="C57" s="29"/>
      <c r="D57" s="29"/>
      <c r="E57" s="29"/>
      <c r="F57" s="29"/>
    </row>
    <row r="58" spans="2:6" x14ac:dyDescent="0.3">
      <c r="B58" s="29"/>
      <c r="C58" s="29"/>
      <c r="D58" s="29"/>
      <c r="E58" s="29"/>
      <c r="F58" s="29"/>
    </row>
    <row r="59" spans="2:6" x14ac:dyDescent="0.3">
      <c r="B59" s="29"/>
      <c r="C59" s="29"/>
      <c r="D59" s="29"/>
      <c r="E59" s="29"/>
      <c r="F59" s="29"/>
    </row>
    <row r="60" spans="2:6" x14ac:dyDescent="0.3">
      <c r="B60" s="29"/>
      <c r="C60" s="29"/>
      <c r="D60" s="29"/>
      <c r="E60" s="29"/>
      <c r="F60" s="29"/>
    </row>
    <row r="61" spans="2:6" x14ac:dyDescent="0.3">
      <c r="B61" s="29"/>
      <c r="C61" s="29"/>
      <c r="D61" s="29"/>
      <c r="E61" s="29"/>
      <c r="F61" s="29"/>
    </row>
    <row r="62" spans="2:6" x14ac:dyDescent="0.3">
      <c r="B62" s="29"/>
      <c r="C62" s="29"/>
      <c r="D62" s="29"/>
      <c r="E62" s="29"/>
      <c r="F62" s="29"/>
    </row>
    <row r="63" spans="2:6" x14ac:dyDescent="0.3">
      <c r="B63" s="29"/>
      <c r="C63" s="29"/>
      <c r="D63" s="29"/>
      <c r="E63" s="29"/>
      <c r="F63" s="29"/>
    </row>
    <row r="64" spans="2:6" x14ac:dyDescent="0.3">
      <c r="B64" s="29"/>
      <c r="C64" s="29"/>
      <c r="D64" s="29"/>
      <c r="E64" s="29"/>
      <c r="F64" s="29"/>
    </row>
    <row r="65" spans="2:6" x14ac:dyDescent="0.3">
      <c r="B65" s="29"/>
      <c r="C65" s="29"/>
      <c r="D65" s="29"/>
      <c r="E65" s="29"/>
      <c r="F65" s="29"/>
    </row>
    <row r="66" spans="2:6" x14ac:dyDescent="0.3">
      <c r="B66" s="29"/>
      <c r="C66" s="29"/>
      <c r="D66" s="29"/>
      <c r="E66" s="29"/>
      <c r="F66" s="29"/>
    </row>
    <row r="67" spans="2:6" x14ac:dyDescent="0.3">
      <c r="B67" s="29"/>
      <c r="C67" s="29"/>
      <c r="D67" s="29"/>
      <c r="E67" s="29"/>
      <c r="F67" s="29"/>
    </row>
    <row r="68" spans="2:6" x14ac:dyDescent="0.3">
      <c r="B68" s="29"/>
      <c r="C68" s="29"/>
      <c r="D68" s="29"/>
      <c r="E68" s="29"/>
      <c r="F68" s="29"/>
    </row>
    <row r="69" spans="2:6" x14ac:dyDescent="0.3">
      <c r="B69" s="29"/>
      <c r="C69" s="29"/>
      <c r="D69" s="29"/>
      <c r="E69" s="29"/>
      <c r="F69" s="29"/>
    </row>
    <row r="70" spans="2:6" x14ac:dyDescent="0.3">
      <c r="B70" s="29"/>
      <c r="C70" s="29"/>
      <c r="D70" s="29"/>
      <c r="E70" s="29"/>
      <c r="F70" s="29"/>
    </row>
    <row r="71" spans="2:6" x14ac:dyDescent="0.3">
      <c r="B71" s="29"/>
      <c r="C71" s="29"/>
      <c r="D71" s="29"/>
      <c r="E71" s="29"/>
      <c r="F71" s="29"/>
    </row>
    <row r="72" spans="2:6" x14ac:dyDescent="0.3">
      <c r="B72" s="29"/>
      <c r="C72" s="29"/>
      <c r="D72" s="29"/>
      <c r="E72" s="29"/>
      <c r="F72" s="29"/>
    </row>
    <row r="73" spans="2:6" x14ac:dyDescent="0.3">
      <c r="B73" s="29"/>
      <c r="C73" s="29"/>
      <c r="D73" s="29"/>
      <c r="E73" s="29"/>
      <c r="F73" s="29"/>
    </row>
    <row r="74" spans="2:6" x14ac:dyDescent="0.3">
      <c r="B74" s="29"/>
      <c r="C74" s="29"/>
      <c r="D74" s="29"/>
      <c r="E74" s="29"/>
      <c r="F74" s="29"/>
    </row>
    <row r="75" spans="2:6" x14ac:dyDescent="0.3">
      <c r="B75" s="29"/>
      <c r="C75" s="29"/>
      <c r="D75" s="29"/>
      <c r="E75" s="29"/>
      <c r="F75" s="29"/>
    </row>
    <row r="76" spans="2:6" x14ac:dyDescent="0.3">
      <c r="B76" s="29"/>
      <c r="C76" s="29"/>
      <c r="D76" s="29"/>
      <c r="E76" s="29"/>
      <c r="F76" s="29"/>
    </row>
    <row r="77" spans="2:6" x14ac:dyDescent="0.3">
      <c r="B77" s="29"/>
      <c r="C77" s="29"/>
      <c r="D77" s="29"/>
      <c r="E77" s="29"/>
      <c r="F77" s="29"/>
    </row>
    <row r="78" spans="2:6" x14ac:dyDescent="0.3">
      <c r="B78" s="29"/>
      <c r="C78" s="29"/>
      <c r="D78" s="29"/>
      <c r="E78" s="29"/>
      <c r="F78" s="29"/>
    </row>
    <row r="79" spans="2:6" x14ac:dyDescent="0.3">
      <c r="B79" s="29"/>
      <c r="C79" s="29"/>
      <c r="D79" s="29"/>
      <c r="E79" s="29"/>
      <c r="F79" s="29"/>
    </row>
    <row r="80" spans="2:6" x14ac:dyDescent="0.3">
      <c r="B80" s="29"/>
      <c r="C80" s="29"/>
      <c r="D80" s="29"/>
      <c r="E80" s="29"/>
      <c r="F80" s="29"/>
    </row>
    <row r="81" spans="2:6" x14ac:dyDescent="0.3">
      <c r="B81" s="29"/>
      <c r="C81" s="29"/>
      <c r="D81" s="29"/>
      <c r="E81" s="29"/>
      <c r="F81" s="29"/>
    </row>
    <row r="82" spans="2:6" x14ac:dyDescent="0.3">
      <c r="B82" s="29"/>
      <c r="C82" s="29"/>
      <c r="D82" s="29"/>
      <c r="E82" s="29"/>
      <c r="F82" s="29"/>
    </row>
    <row r="83" spans="2:6" x14ac:dyDescent="0.3">
      <c r="B83" s="29"/>
      <c r="C83" s="29"/>
      <c r="D83" s="29"/>
      <c r="E83" s="29"/>
      <c r="F83" s="29"/>
    </row>
    <row r="84" spans="2:6" x14ac:dyDescent="0.3">
      <c r="B84" s="29"/>
      <c r="C84" s="29"/>
      <c r="D84" s="29"/>
      <c r="E84" s="29"/>
      <c r="F84" s="29"/>
    </row>
    <row r="85" spans="2:6" x14ac:dyDescent="0.3">
      <c r="B85" s="29"/>
      <c r="C85" s="29"/>
      <c r="D85" s="29"/>
      <c r="E85" s="29"/>
      <c r="F85" s="29"/>
    </row>
    <row r="86" spans="2:6" x14ac:dyDescent="0.3">
      <c r="B86" s="29"/>
      <c r="C86" s="29"/>
      <c r="D86" s="29"/>
      <c r="E86" s="29"/>
      <c r="F86" s="29"/>
    </row>
    <row r="87" spans="2:6" x14ac:dyDescent="0.3">
      <c r="B87" s="29"/>
      <c r="C87" s="29"/>
      <c r="D87" s="29"/>
      <c r="E87" s="29"/>
      <c r="F87" s="29"/>
    </row>
    <row r="88" spans="2:6" x14ac:dyDescent="0.3">
      <c r="B88" s="29"/>
      <c r="C88" s="29"/>
      <c r="D88" s="29"/>
      <c r="E88" s="29"/>
      <c r="F88" s="29"/>
    </row>
    <row r="89" spans="2:6" x14ac:dyDescent="0.3">
      <c r="B89" s="29"/>
      <c r="C89" s="29"/>
      <c r="D89" s="29"/>
      <c r="E89" s="29"/>
      <c r="F89" s="29"/>
    </row>
    <row r="90" spans="2:6" x14ac:dyDescent="0.3">
      <c r="B90" s="29"/>
      <c r="C90" s="29"/>
      <c r="D90" s="29"/>
      <c r="E90" s="29"/>
      <c r="F90" s="29"/>
    </row>
    <row r="91" spans="2:6" x14ac:dyDescent="0.3">
      <c r="B91" s="29"/>
      <c r="C91" s="29"/>
      <c r="D91" s="29"/>
      <c r="E91" s="29"/>
      <c r="F91" s="29"/>
    </row>
    <row r="92" spans="2:6" x14ac:dyDescent="0.3">
      <c r="B92" s="29"/>
      <c r="C92" s="29"/>
      <c r="D92" s="29"/>
      <c r="E92" s="29"/>
      <c r="F92" s="29"/>
    </row>
    <row r="93" spans="2:6" x14ac:dyDescent="0.3">
      <c r="B93" s="29"/>
      <c r="C93" s="29"/>
      <c r="D93" s="29"/>
      <c r="E93" s="29"/>
      <c r="F93" s="29"/>
    </row>
    <row r="94" spans="2:6" x14ac:dyDescent="0.3">
      <c r="B94" s="29"/>
      <c r="C94" s="29"/>
      <c r="D94" s="29"/>
      <c r="E94" s="29"/>
      <c r="F94" s="29"/>
    </row>
    <row r="95" spans="2:6" x14ac:dyDescent="0.3">
      <c r="B95" s="29"/>
      <c r="C95" s="29"/>
      <c r="D95" s="29"/>
      <c r="E95" s="29"/>
      <c r="F95" s="29"/>
    </row>
    <row r="96" spans="2:6" x14ac:dyDescent="0.3">
      <c r="B96" s="29"/>
      <c r="C96" s="29"/>
      <c r="D96" s="29"/>
      <c r="E96" s="29"/>
      <c r="F96" s="29"/>
    </row>
    <row r="97" spans="2:6" x14ac:dyDescent="0.3">
      <c r="B97" s="29"/>
      <c r="C97" s="29"/>
      <c r="D97" s="29"/>
      <c r="E97" s="29"/>
      <c r="F97" s="29"/>
    </row>
    <row r="98" spans="2:6" x14ac:dyDescent="0.3">
      <c r="B98" s="29"/>
      <c r="C98" s="29"/>
      <c r="D98" s="29"/>
      <c r="E98" s="29"/>
      <c r="F98" s="29"/>
    </row>
    <row r="99" spans="2:6" x14ac:dyDescent="0.3">
      <c r="B99" s="29"/>
      <c r="C99" s="29"/>
      <c r="D99" s="29"/>
      <c r="E99" s="29"/>
      <c r="F99" s="29"/>
    </row>
    <row r="100" spans="2:6" x14ac:dyDescent="0.3">
      <c r="B100" s="29"/>
      <c r="C100" s="29"/>
      <c r="D100" s="29"/>
      <c r="E100" s="29"/>
      <c r="F100" s="29"/>
    </row>
    <row r="101" spans="2:6" x14ac:dyDescent="0.3">
      <c r="B101" s="29"/>
      <c r="C101" s="29"/>
      <c r="D101" s="29"/>
      <c r="E101" s="29"/>
      <c r="F101" s="29"/>
    </row>
    <row r="102" spans="2:6" x14ac:dyDescent="0.3">
      <c r="B102" s="29"/>
      <c r="C102" s="29"/>
      <c r="D102" s="29"/>
      <c r="E102" s="29"/>
      <c r="F102" s="29"/>
    </row>
    <row r="103" spans="2:6" x14ac:dyDescent="0.3">
      <c r="B103" s="29"/>
      <c r="C103" s="29"/>
      <c r="D103" s="29"/>
      <c r="E103" s="29"/>
      <c r="F103" s="29"/>
    </row>
    <row r="104" spans="2:6" x14ac:dyDescent="0.3">
      <c r="B104" s="29"/>
      <c r="C104" s="29"/>
      <c r="D104" s="29"/>
      <c r="E104" s="29"/>
      <c r="F104" s="29"/>
    </row>
    <row r="105" spans="2:6" x14ac:dyDescent="0.3">
      <c r="B105" s="29"/>
      <c r="C105" s="29"/>
      <c r="D105" s="29"/>
      <c r="E105" s="29"/>
      <c r="F105" s="29"/>
    </row>
    <row r="106" spans="2:6" x14ac:dyDescent="0.3">
      <c r="B106" s="29"/>
      <c r="C106" s="29"/>
      <c r="D106" s="29"/>
      <c r="E106" s="29"/>
      <c r="F106" s="29"/>
    </row>
    <row r="107" spans="2:6" x14ac:dyDescent="0.3">
      <c r="B107" s="29"/>
      <c r="C107" s="29"/>
      <c r="D107" s="29"/>
      <c r="E107" s="29"/>
      <c r="F107" s="29"/>
    </row>
    <row r="108" spans="2:6" x14ac:dyDescent="0.3">
      <c r="B108" s="29"/>
      <c r="C108" s="29"/>
      <c r="D108" s="29"/>
      <c r="E108" s="29"/>
      <c r="F108" s="29"/>
    </row>
    <row r="109" spans="2:6" x14ac:dyDescent="0.3">
      <c r="B109" s="29"/>
      <c r="C109" s="29"/>
      <c r="D109" s="29"/>
      <c r="E109" s="29"/>
      <c r="F109" s="29"/>
    </row>
    <row r="110" spans="2:6" x14ac:dyDescent="0.3">
      <c r="B110" s="29"/>
      <c r="C110" s="29"/>
      <c r="D110" s="29"/>
      <c r="E110" s="29"/>
      <c r="F110" s="29"/>
    </row>
    <row r="111" spans="2:6" x14ac:dyDescent="0.3">
      <c r="B111" s="29"/>
      <c r="C111" s="29"/>
      <c r="D111" s="29"/>
      <c r="E111" s="29"/>
      <c r="F111" s="29"/>
    </row>
    <row r="112" spans="2:6" x14ac:dyDescent="0.3">
      <c r="B112" s="29"/>
      <c r="C112" s="29"/>
      <c r="D112" s="29"/>
      <c r="E112" s="29"/>
      <c r="F112" s="29"/>
    </row>
    <row r="113" spans="2:6" x14ac:dyDescent="0.3">
      <c r="B113" s="29"/>
      <c r="C113" s="29"/>
      <c r="D113" s="29"/>
      <c r="E113" s="29"/>
      <c r="F113" s="29"/>
    </row>
    <row r="114" spans="2:6" x14ac:dyDescent="0.3">
      <c r="B114" s="29"/>
      <c r="C114" s="29"/>
      <c r="D114" s="29"/>
      <c r="E114" s="29"/>
      <c r="F114" s="29"/>
    </row>
    <row r="115" spans="2:6" x14ac:dyDescent="0.3">
      <c r="B115" s="29"/>
      <c r="C115" s="29"/>
      <c r="D115" s="29"/>
      <c r="E115" s="29"/>
      <c r="F115" s="29"/>
    </row>
    <row r="116" spans="2:6" x14ac:dyDescent="0.3">
      <c r="B116" s="29"/>
      <c r="C116" s="29"/>
      <c r="D116" s="29"/>
      <c r="E116" s="29"/>
      <c r="F116" s="29"/>
    </row>
    <row r="117" spans="2:6" x14ac:dyDescent="0.3">
      <c r="B117" s="29"/>
      <c r="C117" s="29"/>
      <c r="D117" s="29"/>
      <c r="E117" s="29"/>
      <c r="F117" s="29"/>
    </row>
    <row r="118" spans="2:6" x14ac:dyDescent="0.3">
      <c r="B118" s="29"/>
      <c r="C118" s="29"/>
      <c r="D118" s="29"/>
      <c r="E118" s="29"/>
      <c r="F118" s="29"/>
    </row>
    <row r="119" spans="2:6" x14ac:dyDescent="0.3">
      <c r="B119" s="29"/>
      <c r="C119" s="29"/>
      <c r="D119" s="29"/>
      <c r="E119" s="29"/>
      <c r="F119" s="29"/>
    </row>
    <row r="120" spans="2:6" x14ac:dyDescent="0.3">
      <c r="B120" s="29"/>
      <c r="C120" s="29"/>
      <c r="D120" s="29"/>
      <c r="E120" s="29"/>
      <c r="F120" s="29"/>
    </row>
    <row r="121" spans="2:6" x14ac:dyDescent="0.3">
      <c r="B121" s="29"/>
      <c r="C121" s="29"/>
      <c r="D121" s="29"/>
      <c r="E121" s="29"/>
      <c r="F121" s="29"/>
    </row>
    <row r="122" spans="2:6" x14ac:dyDescent="0.3">
      <c r="B122" s="29"/>
      <c r="C122" s="29"/>
      <c r="D122" s="29"/>
      <c r="E122" s="29"/>
      <c r="F122" s="29"/>
    </row>
    <row r="123" spans="2:6" x14ac:dyDescent="0.3">
      <c r="B123" s="29"/>
      <c r="C123" s="29"/>
      <c r="D123" s="29"/>
      <c r="E123" s="29"/>
      <c r="F123" s="29"/>
    </row>
    <row r="124" spans="2:6" x14ac:dyDescent="0.3">
      <c r="B124" s="29"/>
      <c r="C124" s="29"/>
      <c r="D124" s="29"/>
      <c r="E124" s="29"/>
      <c r="F124" s="29"/>
    </row>
    <row r="125" spans="2:6" x14ac:dyDescent="0.3">
      <c r="B125" s="29"/>
      <c r="C125" s="29"/>
      <c r="D125" s="29"/>
      <c r="E125" s="29"/>
      <c r="F125" s="29"/>
    </row>
    <row r="126" spans="2:6" x14ac:dyDescent="0.3">
      <c r="B126" s="29"/>
      <c r="C126" s="29"/>
      <c r="D126" s="29"/>
      <c r="E126" s="29"/>
      <c r="F126" s="29"/>
    </row>
    <row r="127" spans="2:6" x14ac:dyDescent="0.3">
      <c r="B127" s="29"/>
      <c r="C127" s="29"/>
      <c r="D127" s="29"/>
      <c r="E127" s="29"/>
      <c r="F127" s="29"/>
    </row>
    <row r="128" spans="2:6" x14ac:dyDescent="0.3">
      <c r="B128" s="29"/>
      <c r="C128" s="29"/>
      <c r="D128" s="29"/>
      <c r="E128" s="29"/>
      <c r="F128" s="29"/>
    </row>
    <row r="129" spans="2:6" x14ac:dyDescent="0.3">
      <c r="B129" s="29"/>
      <c r="C129" s="29"/>
      <c r="D129" s="29"/>
      <c r="E129" s="29"/>
      <c r="F129" s="29"/>
    </row>
    <row r="130" spans="2:6" x14ac:dyDescent="0.3">
      <c r="B130" s="29"/>
      <c r="C130" s="29"/>
      <c r="D130" s="29"/>
      <c r="E130" s="29"/>
      <c r="F130" s="29"/>
    </row>
    <row r="131" spans="2:6" x14ac:dyDescent="0.3">
      <c r="B131" s="29"/>
      <c r="C131" s="29"/>
      <c r="D131" s="29"/>
      <c r="E131" s="29"/>
      <c r="F131" s="29"/>
    </row>
    <row r="132" spans="2:6" x14ac:dyDescent="0.3">
      <c r="B132" s="29"/>
      <c r="C132" s="29"/>
      <c r="D132" s="29"/>
      <c r="E132" s="29"/>
      <c r="F132" s="29"/>
    </row>
    <row r="133" spans="2:6" x14ac:dyDescent="0.3">
      <c r="B133" s="29"/>
      <c r="C133" s="29"/>
      <c r="D133" s="29"/>
      <c r="E133" s="29"/>
      <c r="F133" s="29"/>
    </row>
    <row r="134" spans="2:6" x14ac:dyDescent="0.3">
      <c r="B134" s="29"/>
      <c r="C134" s="29"/>
      <c r="D134" s="29"/>
      <c r="E134" s="29"/>
      <c r="F134" s="29"/>
    </row>
    <row r="135" spans="2:6" x14ac:dyDescent="0.3">
      <c r="B135" s="29"/>
      <c r="C135" s="29"/>
      <c r="D135" s="29"/>
      <c r="E135" s="29"/>
      <c r="F135" s="29"/>
    </row>
    <row r="136" spans="2:6" x14ac:dyDescent="0.3">
      <c r="B136" s="29"/>
      <c r="C136" s="29"/>
      <c r="D136" s="29"/>
      <c r="E136" s="29"/>
      <c r="F136" s="29"/>
    </row>
    <row r="137" spans="2:6" x14ac:dyDescent="0.3">
      <c r="B137" s="29"/>
      <c r="C137" s="29"/>
      <c r="D137" s="29"/>
      <c r="E137" s="29"/>
      <c r="F137" s="29"/>
    </row>
    <row r="138" spans="2:6" x14ac:dyDescent="0.3">
      <c r="B138" s="29"/>
      <c r="C138" s="29"/>
      <c r="D138" s="29"/>
      <c r="E138" s="29"/>
      <c r="F138" s="29"/>
    </row>
    <row r="139" spans="2:6" x14ac:dyDescent="0.3">
      <c r="B139" s="29"/>
      <c r="C139" s="29"/>
      <c r="D139" s="29"/>
      <c r="E139" s="29"/>
      <c r="F139" s="29"/>
    </row>
    <row r="140" spans="2:6" x14ac:dyDescent="0.3">
      <c r="B140" s="29"/>
      <c r="C140" s="29"/>
      <c r="D140" s="29"/>
      <c r="E140" s="29"/>
      <c r="F140" s="29"/>
    </row>
    <row r="141" spans="2:6" x14ac:dyDescent="0.3">
      <c r="B141" s="29"/>
      <c r="C141" s="29"/>
      <c r="D141" s="29"/>
      <c r="E141" s="29"/>
      <c r="F141" s="29"/>
    </row>
    <row r="142" spans="2:6" x14ac:dyDescent="0.3">
      <c r="B142" s="29"/>
      <c r="C142" s="29"/>
      <c r="D142" s="29"/>
      <c r="E142" s="29"/>
      <c r="F142" s="29"/>
    </row>
    <row r="143" spans="2:6" x14ac:dyDescent="0.3">
      <c r="B143" s="29"/>
      <c r="C143" s="29"/>
      <c r="D143" s="29"/>
      <c r="E143" s="29"/>
      <c r="F143" s="29"/>
    </row>
    <row r="144" spans="2:6" x14ac:dyDescent="0.3">
      <c r="B144" s="29"/>
      <c r="C144" s="29"/>
      <c r="D144" s="29"/>
      <c r="E144" s="29"/>
      <c r="F144" s="29"/>
    </row>
    <row r="145" spans="2:6" x14ac:dyDescent="0.3">
      <c r="B145" s="29"/>
      <c r="C145" s="29"/>
      <c r="D145" s="29"/>
      <c r="E145" s="29"/>
      <c r="F145" s="29"/>
    </row>
    <row r="146" spans="2:6" x14ac:dyDescent="0.3">
      <c r="B146" s="29"/>
      <c r="C146" s="29"/>
      <c r="D146" s="29"/>
      <c r="E146" s="29"/>
      <c r="F146" s="29"/>
    </row>
    <row r="147" spans="2:6" x14ac:dyDescent="0.3">
      <c r="B147" s="29"/>
      <c r="C147" s="29"/>
      <c r="D147" s="29"/>
      <c r="E147" s="29"/>
      <c r="F147" s="29"/>
    </row>
    <row r="148" spans="2:6" x14ac:dyDescent="0.3">
      <c r="B148" s="29"/>
      <c r="C148" s="29"/>
      <c r="D148" s="29"/>
      <c r="E148" s="29"/>
      <c r="F148" s="29"/>
    </row>
    <row r="149" spans="2:6" x14ac:dyDescent="0.3">
      <c r="B149" s="29"/>
      <c r="C149" s="29"/>
      <c r="D149" s="29"/>
      <c r="E149" s="29"/>
      <c r="F149" s="29"/>
    </row>
    <row r="150" spans="2:6" x14ac:dyDescent="0.3">
      <c r="B150" s="29"/>
      <c r="C150" s="29"/>
      <c r="D150" s="29"/>
      <c r="E150" s="29"/>
      <c r="F150" s="29"/>
    </row>
    <row r="151" spans="2:6" x14ac:dyDescent="0.3">
      <c r="B151" s="29"/>
      <c r="C151" s="29"/>
      <c r="D151" s="29"/>
      <c r="E151" s="29"/>
      <c r="F151" s="29"/>
    </row>
    <row r="152" spans="2:6" x14ac:dyDescent="0.3">
      <c r="B152" s="29"/>
      <c r="C152" s="29"/>
      <c r="D152" s="29"/>
      <c r="E152" s="29"/>
      <c r="F152" s="29"/>
    </row>
    <row r="153" spans="2:6" x14ac:dyDescent="0.3">
      <c r="B153" s="29"/>
      <c r="C153" s="29"/>
      <c r="D153" s="29"/>
      <c r="E153" s="29"/>
      <c r="F153" s="29"/>
    </row>
    <row r="154" spans="2:6" x14ac:dyDescent="0.3">
      <c r="B154" s="29"/>
      <c r="C154" s="29"/>
      <c r="D154" s="29"/>
      <c r="E154" s="29"/>
      <c r="F154" s="29"/>
    </row>
    <row r="155" spans="2:6" x14ac:dyDescent="0.3">
      <c r="B155" s="29"/>
      <c r="C155" s="29"/>
      <c r="D155" s="29"/>
      <c r="E155" s="29"/>
      <c r="F155" s="29"/>
    </row>
    <row r="156" spans="2:6" x14ac:dyDescent="0.3">
      <c r="B156" s="29"/>
      <c r="C156" s="29"/>
      <c r="D156" s="29"/>
      <c r="E156" s="29"/>
      <c r="F156" s="29"/>
    </row>
    <row r="157" spans="2:6" x14ac:dyDescent="0.3">
      <c r="B157" s="29"/>
      <c r="C157" s="29"/>
      <c r="D157" s="29"/>
      <c r="E157" s="29"/>
      <c r="F157" s="29"/>
    </row>
    <row r="158" spans="2:6" x14ac:dyDescent="0.3">
      <c r="B158" s="29"/>
      <c r="C158" s="29"/>
      <c r="D158" s="29"/>
      <c r="E158" s="29"/>
      <c r="F158" s="29"/>
    </row>
    <row r="159" spans="2:6" x14ac:dyDescent="0.3">
      <c r="B159" s="29"/>
      <c r="C159" s="29"/>
      <c r="D159" s="29"/>
      <c r="E159" s="29"/>
      <c r="F159" s="29"/>
    </row>
    <row r="160" spans="2:6" x14ac:dyDescent="0.3">
      <c r="B160" s="29"/>
      <c r="C160" s="29"/>
      <c r="D160" s="29"/>
      <c r="E160" s="29"/>
      <c r="F160" s="29"/>
    </row>
    <row r="161" spans="2:6" x14ac:dyDescent="0.3">
      <c r="B161" s="29"/>
      <c r="C161" s="29"/>
      <c r="D161" s="29"/>
      <c r="E161" s="29"/>
      <c r="F161" s="29"/>
    </row>
    <row r="162" spans="2:6" x14ac:dyDescent="0.3">
      <c r="B162" s="29"/>
      <c r="C162" s="29"/>
      <c r="D162" s="29"/>
      <c r="E162" s="29"/>
      <c r="F162" s="29"/>
    </row>
    <row r="163" spans="2:6" x14ac:dyDescent="0.3">
      <c r="B163" s="29"/>
      <c r="C163" s="29"/>
      <c r="D163" s="29"/>
      <c r="E163" s="29"/>
      <c r="F163" s="29"/>
    </row>
    <row r="164" spans="2:6" x14ac:dyDescent="0.3">
      <c r="B164" s="29"/>
      <c r="C164" s="29"/>
      <c r="D164" s="29"/>
      <c r="E164" s="29"/>
      <c r="F164" s="29"/>
    </row>
    <row r="165" spans="2:6" x14ac:dyDescent="0.3">
      <c r="B165" s="29"/>
      <c r="C165" s="29"/>
      <c r="D165" s="29"/>
      <c r="E165" s="29"/>
      <c r="F165" s="29"/>
    </row>
    <row r="166" spans="2:6" x14ac:dyDescent="0.3">
      <c r="B166" s="29"/>
      <c r="C166" s="29"/>
      <c r="D166" s="29"/>
      <c r="E166" s="29"/>
      <c r="F166" s="29"/>
    </row>
    <row r="167" spans="2:6" x14ac:dyDescent="0.3">
      <c r="B167" s="29"/>
      <c r="C167" s="29"/>
      <c r="D167" s="29"/>
      <c r="E167" s="29"/>
      <c r="F167" s="29"/>
    </row>
    <row r="168" spans="2:6" x14ac:dyDescent="0.3">
      <c r="B168" s="29"/>
      <c r="C168" s="29"/>
      <c r="D168" s="29"/>
      <c r="E168" s="29"/>
      <c r="F168" s="29"/>
    </row>
    <row r="169" spans="2:6" x14ac:dyDescent="0.3">
      <c r="B169" s="29"/>
      <c r="C169" s="29"/>
      <c r="D169" s="29"/>
      <c r="E169" s="29"/>
      <c r="F169" s="29"/>
    </row>
    <row r="170" spans="2:6" x14ac:dyDescent="0.3">
      <c r="B170" s="29"/>
      <c r="C170" s="29"/>
      <c r="D170" s="29"/>
      <c r="E170" s="29"/>
      <c r="F170" s="29"/>
    </row>
    <row r="171" spans="2:6" x14ac:dyDescent="0.3">
      <c r="B171" s="29"/>
      <c r="C171" s="29"/>
      <c r="D171" s="29"/>
      <c r="E171" s="29"/>
      <c r="F171" s="29"/>
    </row>
    <row r="172" spans="2:6" x14ac:dyDescent="0.3">
      <c r="B172" s="29"/>
      <c r="C172" s="29"/>
      <c r="D172" s="29"/>
      <c r="E172" s="29"/>
      <c r="F172" s="29"/>
    </row>
    <row r="173" spans="2:6" x14ac:dyDescent="0.3">
      <c r="B173" s="29"/>
      <c r="C173" s="29"/>
      <c r="D173" s="29"/>
      <c r="E173" s="29"/>
      <c r="F173" s="29"/>
    </row>
    <row r="174" spans="2:6" x14ac:dyDescent="0.3">
      <c r="B174" s="29"/>
      <c r="C174" s="29"/>
      <c r="D174" s="29"/>
      <c r="E174" s="29"/>
      <c r="F174" s="29"/>
    </row>
    <row r="175" spans="2:6" x14ac:dyDescent="0.3">
      <c r="B175" s="29"/>
      <c r="C175" s="29"/>
      <c r="D175" s="29"/>
      <c r="E175" s="29"/>
      <c r="F175" s="29"/>
    </row>
  </sheetData>
  <mergeCells count="1">
    <mergeCell ref="H3:J3"/>
  </mergeCells>
  <conditionalFormatting sqref="I4 I20 I27:I30 I32:I34 I11:I17 I24">
    <cfRule type="expression" dxfId="127" priority="34">
      <formula>F4=E4</formula>
    </cfRule>
    <cfRule type="expression" dxfId="126" priority="35">
      <formula>F4&lt;E4</formula>
    </cfRule>
    <cfRule type="expression" dxfId="125" priority="36">
      <formula>F4&gt;E4</formula>
    </cfRule>
  </conditionalFormatting>
  <conditionalFormatting sqref="I18:I19">
    <cfRule type="expression" dxfId="124" priority="19">
      <formula>F18=E18</formula>
    </cfRule>
    <cfRule type="expression" dxfId="123" priority="20">
      <formula>F18&lt;E18</formula>
    </cfRule>
    <cfRule type="expression" dxfId="122" priority="21">
      <formula>F18&gt;E18</formula>
    </cfRule>
  </conditionalFormatting>
  <conditionalFormatting sqref="I26">
    <cfRule type="expression" dxfId="121" priority="16">
      <formula>F26=E26</formula>
    </cfRule>
    <cfRule type="expression" dxfId="120" priority="17">
      <formula>F26&lt;E26</formula>
    </cfRule>
    <cfRule type="expression" dxfId="119" priority="18">
      <formula>F26&gt;E26</formula>
    </cfRule>
  </conditionalFormatting>
  <conditionalFormatting sqref="I31">
    <cfRule type="expression" dxfId="118" priority="13">
      <formula>F31=E31</formula>
    </cfRule>
    <cfRule type="expression" dxfId="117" priority="14">
      <formula>F31&lt;E31</formula>
    </cfRule>
    <cfRule type="expression" dxfId="116" priority="15">
      <formula>F31&gt;E31</formula>
    </cfRule>
  </conditionalFormatting>
  <conditionalFormatting sqref="I35:I37">
    <cfRule type="expression" dxfId="115" priority="10">
      <formula>F35=E35</formula>
    </cfRule>
    <cfRule type="expression" dxfId="114" priority="11">
      <formula>F35&lt;E35</formula>
    </cfRule>
    <cfRule type="expression" dxfId="113" priority="12">
      <formula>F35&gt;E35</formula>
    </cfRule>
  </conditionalFormatting>
  <conditionalFormatting sqref="I5:I10">
    <cfRule type="expression" dxfId="112" priority="7">
      <formula>F5=E5</formula>
    </cfRule>
    <cfRule type="expression" dxfId="111" priority="8">
      <formula>F5&lt;E5</formula>
    </cfRule>
    <cfRule type="expression" dxfId="110" priority="9">
      <formula>F5&gt;E5</formula>
    </cfRule>
  </conditionalFormatting>
  <conditionalFormatting sqref="I21:I23">
    <cfRule type="expression" dxfId="109" priority="4">
      <formula>F21=E21</formula>
    </cfRule>
    <cfRule type="expression" dxfId="108" priority="5">
      <formula>F21&lt;E21</formula>
    </cfRule>
    <cfRule type="expression" dxfId="107" priority="6">
      <formula>F21&gt;E21</formula>
    </cfRule>
  </conditionalFormatting>
  <conditionalFormatting sqref="I25">
    <cfRule type="expression" dxfId="106" priority="1">
      <formula>F25=E25</formula>
    </cfRule>
    <cfRule type="expression" dxfId="105" priority="2">
      <formula>F25&lt;E25</formula>
    </cfRule>
    <cfRule type="expression" dxfId="104" priority="3">
      <formula>F25&gt;E25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C3E70-442B-4517-AA26-39466085205B}">
  <dimension ref="A1:AJ63"/>
  <sheetViews>
    <sheetView showGridLines="0" zoomScale="90" zoomScaleNormal="90" workbookViewId="0">
      <selection activeCell="A14" sqref="A14"/>
    </sheetView>
  </sheetViews>
  <sheetFormatPr defaultColWidth="9.109375" defaultRowHeight="14.4" x14ac:dyDescent="0.3"/>
  <cols>
    <col min="1" max="1" width="22.6640625" style="38" customWidth="1"/>
    <col min="2" max="2" width="16.6640625" style="38" bestFit="1" customWidth="1"/>
    <col min="3" max="3" width="17.5546875" style="38" bestFit="1" customWidth="1"/>
    <col min="4" max="4" width="17.6640625" style="38" customWidth="1"/>
    <col min="5" max="5" width="14.109375" style="38" bestFit="1" customWidth="1"/>
    <col min="6" max="6" width="14.5546875" style="38" bestFit="1" customWidth="1"/>
    <col min="7" max="7" width="13.44140625" style="38" bestFit="1" customWidth="1"/>
    <col min="8" max="8" width="12.88671875" style="38" bestFit="1" customWidth="1"/>
    <col min="9" max="9" width="15" style="38" bestFit="1" customWidth="1"/>
    <col min="10" max="10" width="6.33203125" style="38" customWidth="1"/>
    <col min="11" max="11" width="5.44140625" style="38" bestFit="1" customWidth="1"/>
    <col min="12" max="12" width="5.5546875" style="38" bestFit="1" customWidth="1"/>
    <col min="13" max="13" width="24.6640625" style="48" bestFit="1" customWidth="1"/>
    <col min="14" max="14" width="3" style="38" customWidth="1"/>
    <col min="15" max="15" width="9.109375" style="48"/>
    <col min="16" max="16" width="2.88671875" style="38" customWidth="1"/>
    <col min="17" max="17" width="9.33203125" style="38" bestFit="1" customWidth="1"/>
    <col min="18" max="18" width="16.109375" style="38" bestFit="1" customWidth="1"/>
    <col min="19" max="19" width="24.6640625" style="38" bestFit="1" customWidth="1"/>
    <col min="20" max="20" width="3.33203125" style="38" customWidth="1"/>
    <col min="21" max="21" width="9.33203125" style="38" bestFit="1" customWidth="1"/>
    <col min="22" max="24" width="9.109375" style="38"/>
    <col min="25" max="25" width="9.109375" style="48"/>
    <col min="26" max="26" width="9.109375" style="38"/>
    <col min="27" max="27" width="3.5546875" style="38" customWidth="1"/>
    <col min="28" max="28" width="9.109375" style="38"/>
    <col min="29" max="29" width="20" style="38" bestFit="1" customWidth="1"/>
    <col min="30" max="30" width="33.44140625" style="38" customWidth="1"/>
    <col min="31" max="32" width="9.109375" style="38"/>
    <col min="33" max="33" width="32.88671875" style="38" customWidth="1"/>
    <col min="34" max="34" width="14.5546875" style="38" bestFit="1" customWidth="1"/>
    <col min="35" max="35" width="15.6640625" style="38" bestFit="1" customWidth="1"/>
    <col min="36" max="16384" width="9.109375" style="38"/>
  </cols>
  <sheetData>
    <row r="1" spans="1:36" x14ac:dyDescent="0.3">
      <c r="A1" s="40" t="str">
        <f>A4&amp;" vs. "&amp;A5</f>
        <v>Total active pe termen lung vs. Total active curente</v>
      </c>
      <c r="B1" s="40"/>
      <c r="D1" s="38" t="s">
        <v>254</v>
      </c>
      <c r="E1" s="38" t="s">
        <v>255</v>
      </c>
      <c r="F1" s="38" t="s">
        <v>256</v>
      </c>
      <c r="G1" s="38" t="s">
        <v>257</v>
      </c>
      <c r="H1" s="38" t="s">
        <v>258</v>
      </c>
    </row>
    <row r="2" spans="1:36" x14ac:dyDescent="0.3">
      <c r="D2" s="49" t="s">
        <v>249</v>
      </c>
      <c r="E2" s="49" t="s">
        <v>250</v>
      </c>
      <c r="F2" s="49" t="s">
        <v>251</v>
      </c>
      <c r="G2" s="49" t="s">
        <v>252</v>
      </c>
      <c r="H2" s="49" t="s">
        <v>253</v>
      </c>
      <c r="L2" s="49" t="s">
        <v>111</v>
      </c>
      <c r="M2" s="48" t="s">
        <v>89</v>
      </c>
      <c r="O2" s="48" t="s">
        <v>90</v>
      </c>
      <c r="Y2" s="48" t="s">
        <v>91</v>
      </c>
    </row>
    <row r="3" spans="1:36" x14ac:dyDescent="0.3">
      <c r="B3" s="42"/>
      <c r="C3" s="42"/>
      <c r="D3" s="42">
        <f>Data_Interim!L3</f>
        <v>2017</v>
      </c>
      <c r="E3" s="42">
        <f>Data_Interim!M3</f>
        <v>2018</v>
      </c>
      <c r="F3" s="42">
        <f>Data_Interim!N3</f>
        <v>2019</v>
      </c>
      <c r="G3" s="42">
        <f>Data_Interim!O3</f>
        <v>2020</v>
      </c>
      <c r="H3" s="42">
        <f>Data_Interim!P3</f>
        <v>2021</v>
      </c>
      <c r="K3" s="88">
        <v>2021</v>
      </c>
      <c r="L3" s="38">
        <f>H9</f>
        <v>2021</v>
      </c>
      <c r="M3" s="48" t="s">
        <v>5</v>
      </c>
      <c r="O3" s="48" t="s">
        <v>141</v>
      </c>
      <c r="Q3" s="38">
        <v>1</v>
      </c>
      <c r="R3" s="38" t="s">
        <v>143</v>
      </c>
      <c r="S3" s="38" t="s">
        <v>5</v>
      </c>
      <c r="T3" s="38">
        <f>IF(R3=$A$8,Q3,"")</f>
        <v>1</v>
      </c>
      <c r="U3" s="38">
        <f>SMALL($T$3:$T$10,ROWS(T3:$T$3))</f>
        <v>1</v>
      </c>
      <c r="V3" s="38" t="str">
        <f>VLOOKUP(U3,$Q$3:$S$10,3,0)</f>
        <v>Total active pe termen lung</v>
      </c>
      <c r="Y3" s="48" t="s">
        <v>132</v>
      </c>
      <c r="AB3" s="38">
        <v>1</v>
      </c>
      <c r="AC3" s="49" t="s">
        <v>132</v>
      </c>
      <c r="AD3" s="49" t="s">
        <v>1</v>
      </c>
      <c r="AE3" s="38" t="str">
        <f>IF(AC3=Grafice!$F$20,hiddenPage!AB3,"")</f>
        <v/>
      </c>
      <c r="AF3" s="38">
        <f>SMALL($AE$3:$AE$28,ROWS($AE3:AE$3))</f>
        <v>14</v>
      </c>
      <c r="AG3" s="38" t="str">
        <f>IF(ISERROR(VLOOKUP(AF3,$AB$3:$AD$30,3,0)),"",VLOOKUP(AF3,$AB$3:$AD$30,3,0))</f>
        <v>Capital social</v>
      </c>
      <c r="AH3" s="43" t="e">
        <f>SUMIF('1.Pozitia Financiara'!A:A,hiddenPage!AG3,'1.Pozitia Financiara'!#REF!)+SUMIF('1.Pozitia Financiara'!A:A,hiddenPage!AG3,'1.Pozitia Financiara'!#REF!)+SUMIF('1.Pozitia Financiara'!A:A,hiddenPage!AG3,'1.Pozitia Financiara'!B:B)+SUMIF('1.Pozitia Financiara'!A:A,hiddenPage!AG3,'1.Pozitia Financiara'!C:C)+SUMIF('1.Pozitia Financiara'!A:A,hiddenPage!AG3,'1.Pozitia Financiara'!D:D)+SUMIF('1.Pozitia Financiara'!A:A,hiddenPage!AG3,'1.Pozitia Financiara'!E:E)+SUMIF('1.Pozitia Financiara'!A:A,hiddenPage!AG3,'1.Pozitia Financiara'!F:F)</f>
        <v>#REF!</v>
      </c>
      <c r="AI3" s="55" t="e">
        <f>LARGE($AH$3:$AH$13,ROWS(AG3:$AG$3))</f>
        <v>#REF!</v>
      </c>
      <c r="AJ3" s="38" t="e">
        <f t="shared" ref="AJ3:AJ13" si="0">INDEX(AG:AG,MATCH(AI3,AH:AH,0))</f>
        <v>#REF!</v>
      </c>
    </row>
    <row r="4" spans="1:36" x14ac:dyDescent="0.3">
      <c r="A4" s="41" t="str">
        <f>Grafice!F2</f>
        <v>Total active pe termen lung</v>
      </c>
      <c r="B4" s="43"/>
      <c r="C4" s="43"/>
      <c r="D4" s="43">
        <f>SUMIF('1.Pozitia Financiara'!$A:$A,$A4,'1.Pozitia Financiara'!B:B)</f>
        <v>268107761</v>
      </c>
      <c r="E4" s="43">
        <f>SUMIF('1.Pozitia Financiara'!$A:$A,$A4,'1.Pozitia Financiara'!C:C)</f>
        <v>253211808</v>
      </c>
      <c r="F4" s="43">
        <f>SUMIF('1.Pozitia Financiara'!$A:$A,$A4,'1.Pozitia Financiara'!D:D)</f>
        <v>211038260</v>
      </c>
      <c r="G4" s="43">
        <f>SUMIF('1.Pozitia Financiara'!$A:$A,$A4,'1.Pozitia Financiara'!E:E)</f>
        <v>189352813.5136849</v>
      </c>
      <c r="H4" s="43">
        <f>SUMIF('1.Pozitia Financiara'!$A:$A,$A4,'1.Pozitia Financiara'!F:F)</f>
        <v>178046798.22238484</v>
      </c>
      <c r="L4" s="38">
        <f>G9</f>
        <v>2020</v>
      </c>
      <c r="M4" s="48" t="s">
        <v>8</v>
      </c>
      <c r="O4" s="48" t="s">
        <v>143</v>
      </c>
      <c r="Q4" s="38">
        <v>2</v>
      </c>
      <c r="R4" s="38" t="s">
        <v>143</v>
      </c>
      <c r="S4" s="38" t="s">
        <v>8</v>
      </c>
      <c r="T4" s="38">
        <f t="shared" ref="T4:T10" si="1">IF(R4=$A$8,Q4,"")</f>
        <v>2</v>
      </c>
      <c r="U4" s="38">
        <f>SMALL($T$3:$T$10,ROWS(T$3:$T4))</f>
        <v>2</v>
      </c>
      <c r="V4" s="38" t="str">
        <f t="shared" ref="V4:V10" si="2">VLOOKUP(U4,$Q$3:$S$10,3,0)</f>
        <v>Total active curente</v>
      </c>
      <c r="Y4" s="48" t="s">
        <v>133</v>
      </c>
      <c r="AB4" s="38">
        <f>AB3+1</f>
        <v>2</v>
      </c>
      <c r="AC4" s="49" t="s">
        <v>132</v>
      </c>
      <c r="AD4" s="49" t="s">
        <v>3</v>
      </c>
      <c r="AE4" s="38" t="str">
        <f>IF(AC4=Grafice!$F$20,hiddenPage!AB4,"")</f>
        <v/>
      </c>
      <c r="AF4" s="38">
        <f>SMALL($AE$3:$AE$28,ROWS($AE$3:AE4))</f>
        <v>15</v>
      </c>
      <c r="AG4" s="38" t="str">
        <f t="shared" ref="AG4:AG13" si="3">IF(ISERROR(VLOOKUP(AF4,$AB$3:$AD$30,3,0)),"",VLOOKUP(AF4,$AB$3:$AD$30,3,0))</f>
        <v>Prime de emisiune</v>
      </c>
      <c r="AH4" s="43" t="e">
        <f>SUMIF('1.Pozitia Financiara'!A:A,hiddenPage!AG4,'1.Pozitia Financiara'!#REF!)+SUMIF('1.Pozitia Financiara'!A:A,hiddenPage!AG4,'1.Pozitia Financiara'!#REF!)+SUMIF('1.Pozitia Financiara'!A:A,hiddenPage!AG4,'1.Pozitia Financiara'!B:B)+SUMIF('1.Pozitia Financiara'!A:A,hiddenPage!AG4,'1.Pozitia Financiara'!C:C)+SUMIF('1.Pozitia Financiara'!A:A,hiddenPage!AG4,'1.Pozitia Financiara'!D:D)+SUMIF('1.Pozitia Financiara'!A:A,hiddenPage!AG4,'1.Pozitia Financiara'!E:E)+SUMIF('1.Pozitia Financiara'!A:A,hiddenPage!AG4,'1.Pozitia Financiara'!F:F)</f>
        <v>#REF!</v>
      </c>
      <c r="AI4" s="55" t="e">
        <f>LARGE($AH$3:$AH$13,ROWS(AG$3:$AG4))</f>
        <v>#REF!</v>
      </c>
      <c r="AJ4" s="38" t="e">
        <f t="shared" si="0"/>
        <v>#REF!</v>
      </c>
    </row>
    <row r="5" spans="1:36" x14ac:dyDescent="0.3">
      <c r="A5" s="41" t="str">
        <f>Grafice!F3</f>
        <v>Total active curente</v>
      </c>
      <c r="B5" s="43"/>
      <c r="C5" s="43"/>
      <c r="D5" s="43">
        <f>SUMIF('1.Pozitia Financiara'!$A:$A,$A5,'1.Pozitia Financiara'!B:B)</f>
        <v>81105480</v>
      </c>
      <c r="E5" s="43">
        <f>SUMIF('1.Pozitia Financiara'!$A:$A,$A5,'1.Pozitia Financiara'!C:C)</f>
        <v>89830101</v>
      </c>
      <c r="F5" s="43">
        <f>SUMIF('1.Pozitia Financiara'!$A:$A,$A5,'1.Pozitia Financiara'!D:D)</f>
        <v>100208296</v>
      </c>
      <c r="G5" s="43">
        <f>SUMIF('1.Pozitia Financiara'!$A:$A,$A5,'1.Pozitia Financiara'!E:E)</f>
        <v>96764098.03478308</v>
      </c>
      <c r="H5" s="43">
        <f>SUMIF('1.Pozitia Financiara'!$A:$A,$A5,'1.Pozitia Financiara'!F:F)</f>
        <v>108380938.08471972</v>
      </c>
      <c r="L5" s="38">
        <f>F9</f>
        <v>2019</v>
      </c>
      <c r="M5" s="48" t="s">
        <v>10</v>
      </c>
      <c r="O5" s="48" t="s">
        <v>19</v>
      </c>
      <c r="Q5" s="38">
        <v>3</v>
      </c>
      <c r="R5" s="38" t="s">
        <v>141</v>
      </c>
      <c r="S5" s="38" t="s">
        <v>21</v>
      </c>
      <c r="T5" s="38" t="str">
        <f t="shared" si="1"/>
        <v/>
      </c>
      <c r="U5" s="38" t="e">
        <f>SMALL($T$3:$T$10,ROWS(T$3:$T5))</f>
        <v>#NUM!</v>
      </c>
      <c r="V5" s="38" t="e">
        <f t="shared" si="2"/>
        <v>#NUM!</v>
      </c>
      <c r="Y5" s="48" t="s">
        <v>144</v>
      </c>
      <c r="AB5" s="38">
        <f t="shared" ref="AB5:AB27" si="4">AB4+1</f>
        <v>3</v>
      </c>
      <c r="AC5" s="49" t="s">
        <v>132</v>
      </c>
      <c r="AD5" s="49" t="s">
        <v>193</v>
      </c>
      <c r="AE5" s="38" t="str">
        <f>IF(AC5=Grafice!$F$20,hiddenPage!AB5,"")</f>
        <v/>
      </c>
      <c r="AF5" s="38">
        <f>SMALL($AE$3:$AE$28,ROWS($AE$3:AE5))</f>
        <v>16</v>
      </c>
      <c r="AG5" s="38" t="str">
        <f t="shared" si="3"/>
        <v>Rezerve</v>
      </c>
      <c r="AH5" s="43" t="e">
        <f>SUMIF('1.Pozitia Financiara'!A:A,hiddenPage!AG5,'1.Pozitia Financiara'!#REF!)+SUMIF('1.Pozitia Financiara'!A:A,hiddenPage!AG5,'1.Pozitia Financiara'!#REF!)+SUMIF('1.Pozitia Financiara'!A:A,hiddenPage!AG5,'1.Pozitia Financiara'!B:B)+SUMIF('1.Pozitia Financiara'!A:A,hiddenPage!AG5,'1.Pozitia Financiara'!C:C)+SUMIF('1.Pozitia Financiara'!A:A,hiddenPage!AG5,'1.Pozitia Financiara'!D:D)+SUMIF('1.Pozitia Financiara'!A:A,hiddenPage!AG5,'1.Pozitia Financiara'!E:E)+SUMIF('1.Pozitia Financiara'!A:A,hiddenPage!AG5,'1.Pozitia Financiara'!F:F)</f>
        <v>#REF!</v>
      </c>
      <c r="AI5" s="55" t="e">
        <f>LARGE($AH$3:$AH$13,ROWS(AG$3:$AG5))</f>
        <v>#REF!</v>
      </c>
      <c r="AJ5" s="38" t="e">
        <f t="shared" si="0"/>
        <v>#REF!</v>
      </c>
    </row>
    <row r="6" spans="1:36" x14ac:dyDescent="0.3">
      <c r="L6" s="38">
        <f>E9</f>
        <v>2018</v>
      </c>
      <c r="M6" s="48" t="s">
        <v>18</v>
      </c>
      <c r="O6" s="48" t="s">
        <v>142</v>
      </c>
      <c r="Q6" s="38">
        <v>4</v>
      </c>
      <c r="R6" s="38" t="s">
        <v>141</v>
      </c>
      <c r="S6" s="38" t="s">
        <v>23</v>
      </c>
      <c r="T6" s="38" t="str">
        <f t="shared" si="1"/>
        <v/>
      </c>
      <c r="U6" s="38" t="e">
        <f>SMALL($T$3:$T$10,ROWS(T$3:$T6))</f>
        <v>#NUM!</v>
      </c>
      <c r="V6" s="38" t="e">
        <f t="shared" si="2"/>
        <v>#NUM!</v>
      </c>
      <c r="Y6" s="48" t="s">
        <v>145</v>
      </c>
      <c r="AB6" s="38">
        <f t="shared" si="4"/>
        <v>4</v>
      </c>
      <c r="AC6" s="49" t="s">
        <v>132</v>
      </c>
      <c r="AD6" s="49" t="s">
        <v>235</v>
      </c>
      <c r="AE6" s="38" t="str">
        <f>IF(AC6=Grafice!$F$20,hiddenPage!AB6,"")</f>
        <v/>
      </c>
      <c r="AF6" s="38">
        <f>SMALL($AE$3:$AE$28,ROWS($AE$3:AE6))</f>
        <v>17</v>
      </c>
      <c r="AG6" s="38" t="str">
        <f t="shared" si="3"/>
        <v>Rezultat reportat</v>
      </c>
      <c r="AH6" s="43" t="e">
        <f>SUMIF('1.Pozitia Financiara'!A:A,hiddenPage!AG6,'1.Pozitia Financiara'!#REF!)+SUMIF('1.Pozitia Financiara'!A:A,hiddenPage!AG6,'1.Pozitia Financiara'!#REF!)+SUMIF('1.Pozitia Financiara'!A:A,hiddenPage!AG6,'1.Pozitia Financiara'!B:B)+SUMIF('1.Pozitia Financiara'!A:A,hiddenPage!AG6,'1.Pozitia Financiara'!C:C)+SUMIF('1.Pozitia Financiara'!A:A,hiddenPage!AG6,'1.Pozitia Financiara'!D:D)+SUMIF('1.Pozitia Financiara'!A:A,hiddenPage!AG6,'1.Pozitia Financiara'!E:E)+SUMIF('1.Pozitia Financiara'!A:A,hiddenPage!AG6,'1.Pozitia Financiara'!F:F)</f>
        <v>#REF!</v>
      </c>
      <c r="AI6" s="55" t="e">
        <f>LARGE($AH$3:$AH$13,ROWS(AG$3:$AG6))</f>
        <v>#REF!</v>
      </c>
      <c r="AJ6" s="38" t="e">
        <f t="shared" si="0"/>
        <v>#REF!</v>
      </c>
    </row>
    <row r="7" spans="1:36" x14ac:dyDescent="0.3">
      <c r="A7" s="40" t="str">
        <f>A10&amp;" vs. "&amp;A11</f>
        <v>Total active pe termen lung vs. Total active curente</v>
      </c>
      <c r="B7" s="40"/>
      <c r="C7" s="40"/>
      <c r="D7" s="39" t="str">
        <f>"Structura indicatorului "&amp;A8&amp;" la "&amp;" 30 Iunie "&amp;I9</f>
        <v>Structura indicatorului Activ la  30 Iunie 2021</v>
      </c>
      <c r="E7" s="39"/>
      <c r="L7" s="38">
        <f>D9</f>
        <v>2017</v>
      </c>
      <c r="M7" s="48" t="s">
        <v>21</v>
      </c>
      <c r="Q7" s="38">
        <v>5</v>
      </c>
      <c r="R7" s="38" t="s">
        <v>19</v>
      </c>
      <c r="S7" s="38" t="s">
        <v>168</v>
      </c>
      <c r="T7" s="38" t="str">
        <f t="shared" si="1"/>
        <v/>
      </c>
      <c r="U7" s="38" t="e">
        <f>SMALL($T$3:$T$10,ROWS(T$3:$T7))</f>
        <v>#NUM!</v>
      </c>
      <c r="V7" s="38" t="e">
        <f t="shared" si="2"/>
        <v>#NUM!</v>
      </c>
      <c r="Y7" s="48" t="s">
        <v>134</v>
      </c>
      <c r="AB7" s="38">
        <f t="shared" si="4"/>
        <v>5</v>
      </c>
      <c r="AC7" s="49" t="s">
        <v>132</v>
      </c>
      <c r="AD7" s="49" t="s">
        <v>236</v>
      </c>
      <c r="AE7" s="38" t="str">
        <f>IF(AC7=Grafice!$F$20,hiddenPage!AB7,"")</f>
        <v/>
      </c>
      <c r="AF7" s="38">
        <f>SMALL($AE$3:$AE$28,ROWS($AE$3:AE7))</f>
        <v>18</v>
      </c>
      <c r="AG7" s="38" t="str">
        <f t="shared" si="3"/>
        <v>Interese minoritare</v>
      </c>
      <c r="AH7" s="43" t="e">
        <f>SUMIF('1.Pozitia Financiara'!A:A,hiddenPage!AG7,'1.Pozitia Financiara'!#REF!)+SUMIF('1.Pozitia Financiara'!A:A,hiddenPage!AG7,'1.Pozitia Financiara'!#REF!)+SUMIF('1.Pozitia Financiara'!A:A,hiddenPage!AG7,'1.Pozitia Financiara'!B:B)+SUMIF('1.Pozitia Financiara'!A:A,hiddenPage!AG7,'1.Pozitia Financiara'!C:C)+SUMIF('1.Pozitia Financiara'!A:A,hiddenPage!AG7,'1.Pozitia Financiara'!D:D)+SUMIF('1.Pozitia Financiara'!A:A,hiddenPage!AG7,'1.Pozitia Financiara'!E:E)+SUMIF('1.Pozitia Financiara'!A:A,hiddenPage!AG7,'1.Pozitia Financiara'!F:F)</f>
        <v>#REF!</v>
      </c>
      <c r="AI7" s="55" t="e">
        <f>LARGE($AH$3:$AH$13,ROWS(AG$3:$AG7))</f>
        <v>#REF!</v>
      </c>
      <c r="AJ7" s="38" t="e">
        <f t="shared" si="0"/>
        <v>#REF!</v>
      </c>
    </row>
    <row r="8" spans="1:36" x14ac:dyDescent="0.3">
      <c r="A8" s="38" t="str">
        <f>Grafice!O2</f>
        <v>Activ</v>
      </c>
      <c r="B8" s="38">
        <f>IF(B9=Grafice!$U$2,1,0)</f>
        <v>0</v>
      </c>
      <c r="C8" s="38">
        <f>IF(C9=Grafice!$U$2,1,0)</f>
        <v>0</v>
      </c>
      <c r="D8" s="38">
        <f>IF(D9=Grafice!$U$2,1,0)</f>
        <v>0</v>
      </c>
      <c r="E8" s="38">
        <f>IF(E9=Grafice!$U$2,1,0)</f>
        <v>0</v>
      </c>
      <c r="F8" s="38">
        <f>IF(F9=Grafice!$U$2,1,0)</f>
        <v>0</v>
      </c>
      <c r="G8" s="38">
        <f>IF(G9=Grafice!$U$2,1,0)</f>
        <v>0</v>
      </c>
      <c r="H8" s="38">
        <f>IF(H9=Grafice!$U$2,1,0)</f>
        <v>1</v>
      </c>
      <c r="M8" s="48" t="s">
        <v>23</v>
      </c>
      <c r="Q8" s="38">
        <v>6</v>
      </c>
      <c r="R8" s="38" t="s">
        <v>19</v>
      </c>
      <c r="S8" s="38" t="s">
        <v>172</v>
      </c>
      <c r="T8" s="38" t="str">
        <f t="shared" si="1"/>
        <v/>
      </c>
      <c r="U8" s="38" t="e">
        <f>SMALL($T$3:$T$10,ROWS(T$3:$T8))</f>
        <v>#NUM!</v>
      </c>
      <c r="V8" s="38" t="e">
        <f t="shared" si="2"/>
        <v>#NUM!</v>
      </c>
      <c r="AB8" s="38">
        <f t="shared" si="4"/>
        <v>6</v>
      </c>
      <c r="AC8" s="49" t="s">
        <v>132</v>
      </c>
      <c r="AD8" s="49" t="s">
        <v>237</v>
      </c>
      <c r="AE8" s="38" t="str">
        <f>IF(AC8=Grafice!$F$20,hiddenPage!AB8,"")</f>
        <v/>
      </c>
      <c r="AF8" s="38" t="e">
        <f>SMALL($AE$3:$AE$28,ROWS($AE$3:AE8))</f>
        <v>#NUM!</v>
      </c>
      <c r="AG8" s="38" t="str">
        <f t="shared" si="3"/>
        <v/>
      </c>
      <c r="AH8" s="43" t="e">
        <f>SUMIF('1.Pozitia Financiara'!A:A,hiddenPage!AG8,'1.Pozitia Financiara'!#REF!)+SUMIF('1.Pozitia Financiara'!A:A,hiddenPage!AG8,'1.Pozitia Financiara'!#REF!)+SUMIF('1.Pozitia Financiara'!A:A,hiddenPage!AG8,'1.Pozitia Financiara'!B:B)+SUMIF('1.Pozitia Financiara'!A:A,hiddenPage!AG8,'1.Pozitia Financiara'!C:C)+SUMIF('1.Pozitia Financiara'!A:A,hiddenPage!AG8,'1.Pozitia Financiara'!D:D)+SUMIF('1.Pozitia Financiara'!A:A,hiddenPage!AG8,'1.Pozitia Financiara'!E:E)+SUMIF('1.Pozitia Financiara'!A:A,hiddenPage!AG8,'1.Pozitia Financiara'!F:F)</f>
        <v>#REF!</v>
      </c>
      <c r="AI8" s="55" t="e">
        <f>LARGE($AH$3:$AH$13,ROWS(AG$3:$AG8))</f>
        <v>#REF!</v>
      </c>
      <c r="AJ8" s="38" t="e">
        <f t="shared" si="0"/>
        <v>#REF!</v>
      </c>
    </row>
    <row r="9" spans="1:36" x14ac:dyDescent="0.3">
      <c r="B9" s="42"/>
      <c r="C9" s="42"/>
      <c r="D9" s="42">
        <f>D3</f>
        <v>2017</v>
      </c>
      <c r="E9" s="42">
        <f t="shared" ref="E9:H9" si="5">E3</f>
        <v>2018</v>
      </c>
      <c r="F9" s="42">
        <f t="shared" si="5"/>
        <v>2019</v>
      </c>
      <c r="G9" s="42">
        <f t="shared" si="5"/>
        <v>2020</v>
      </c>
      <c r="H9" s="42">
        <f t="shared" si="5"/>
        <v>2021</v>
      </c>
      <c r="I9" s="63">
        <f>Grafice!F21</f>
        <v>2021</v>
      </c>
      <c r="M9" s="48" t="s">
        <v>25</v>
      </c>
      <c r="Q9" s="38">
        <v>7</v>
      </c>
      <c r="R9" s="38" t="s">
        <v>142</v>
      </c>
      <c r="S9" s="38" t="s">
        <v>25</v>
      </c>
      <c r="T9" s="38" t="str">
        <f t="shared" si="1"/>
        <v/>
      </c>
      <c r="U9" s="38" t="e">
        <f>SMALL($T$3:$T$10,ROWS(T$3:$T9))</f>
        <v>#NUM!</v>
      </c>
      <c r="V9" s="38" t="e">
        <f t="shared" si="2"/>
        <v>#NUM!</v>
      </c>
      <c r="AB9" s="38">
        <f t="shared" si="4"/>
        <v>7</v>
      </c>
      <c r="AC9" s="49" t="s">
        <v>132</v>
      </c>
      <c r="AD9" s="49" t="s">
        <v>238</v>
      </c>
      <c r="AE9" s="38" t="str">
        <f>IF(AC9=Grafice!$F$20,hiddenPage!AB9,"")</f>
        <v/>
      </c>
      <c r="AF9" s="38" t="e">
        <f>SMALL($AE$3:$AE$28,ROWS($AE$3:AE9))</f>
        <v>#NUM!</v>
      </c>
      <c r="AG9" s="38" t="str">
        <f t="shared" si="3"/>
        <v/>
      </c>
      <c r="AH9" s="43" t="e">
        <f>SUMIF('1.Pozitia Financiara'!A:A,hiddenPage!AG9,'1.Pozitia Financiara'!#REF!)+SUMIF('1.Pozitia Financiara'!A:A,hiddenPage!AG9,'1.Pozitia Financiara'!#REF!)+SUMIF('1.Pozitia Financiara'!A:A,hiddenPage!AG9,'1.Pozitia Financiara'!B:B)+SUMIF('1.Pozitia Financiara'!A:A,hiddenPage!AG9,'1.Pozitia Financiara'!C:C)+SUMIF('1.Pozitia Financiara'!A:A,hiddenPage!AG9,'1.Pozitia Financiara'!D:D)+SUMIF('1.Pozitia Financiara'!A:A,hiddenPage!AG9,'1.Pozitia Financiara'!E:E)+SUMIF('1.Pozitia Financiara'!A:A,hiddenPage!AG9,'1.Pozitia Financiara'!F:F)</f>
        <v>#REF!</v>
      </c>
      <c r="AI9" s="55" t="e">
        <f>LARGE($AH$3:$AH$13,ROWS(AG$3:$AG9))</f>
        <v>#REF!</v>
      </c>
      <c r="AJ9" s="38" t="e">
        <f t="shared" si="0"/>
        <v>#REF!</v>
      </c>
    </row>
    <row r="10" spans="1:36" x14ac:dyDescent="0.3">
      <c r="A10" s="41" t="str">
        <f>V3</f>
        <v>Total active pe termen lung</v>
      </c>
      <c r="B10" s="43"/>
      <c r="C10" s="43"/>
      <c r="D10" s="43">
        <f>SUMIF('1.Pozitia Financiara'!$A:$A,$A10,'1.Pozitia Financiara'!B:B)</f>
        <v>268107761</v>
      </c>
      <c r="E10" s="43">
        <f>SUMIF('1.Pozitia Financiara'!$A:$A,$A10,'1.Pozitia Financiara'!C:C)</f>
        <v>253211808</v>
      </c>
      <c r="F10" s="43">
        <f>SUMIF('1.Pozitia Financiara'!$A:$A,$A10,'1.Pozitia Financiara'!D:D)</f>
        <v>211038260</v>
      </c>
      <c r="G10" s="43">
        <f>SUMIF('1.Pozitia Financiara'!$A:$A,$A10,'1.Pozitia Financiara'!E:E)</f>
        <v>189352813.5136849</v>
      </c>
      <c r="H10" s="43">
        <f>SUMIF('1.Pozitia Financiara'!$A:$A,$A10,'1.Pozitia Financiara'!F:F)</f>
        <v>178046798.22238484</v>
      </c>
      <c r="I10" s="83">
        <f>SUMPRODUCT(D10:H10,$D$8:$H$8)</f>
        <v>178046798.22238484</v>
      </c>
      <c r="M10" s="48" t="s">
        <v>27</v>
      </c>
      <c r="Q10" s="38">
        <v>8</v>
      </c>
      <c r="R10" s="38" t="s">
        <v>142</v>
      </c>
      <c r="S10" s="38" t="s">
        <v>18</v>
      </c>
      <c r="T10" s="38" t="str">
        <f t="shared" si="1"/>
        <v/>
      </c>
      <c r="U10" s="38" t="e">
        <f>SMALL($T$3:$T$10,ROWS(T$3:$T10))</f>
        <v>#NUM!</v>
      </c>
      <c r="V10" s="38" t="e">
        <f t="shared" si="2"/>
        <v>#NUM!</v>
      </c>
      <c r="AB10" s="38">
        <f t="shared" si="4"/>
        <v>8</v>
      </c>
      <c r="AC10" s="49" t="s">
        <v>133</v>
      </c>
      <c r="AD10" s="49" t="s">
        <v>239</v>
      </c>
      <c r="AE10" s="38" t="str">
        <f>IF(AC10=Grafice!$F$20,hiddenPage!AB10,"")</f>
        <v/>
      </c>
      <c r="AF10" s="38" t="e">
        <f>SMALL($AE$3:$AE$28,ROWS($AE$3:AE10))</f>
        <v>#NUM!</v>
      </c>
      <c r="AG10" s="38" t="str">
        <f t="shared" si="3"/>
        <v/>
      </c>
      <c r="AH10" s="43" t="e">
        <f>SUMIF('1.Pozitia Financiara'!A:A,hiddenPage!AG10,'1.Pozitia Financiara'!#REF!)+SUMIF('1.Pozitia Financiara'!A:A,hiddenPage!AG10,'1.Pozitia Financiara'!#REF!)+SUMIF('1.Pozitia Financiara'!A:A,hiddenPage!AG10,'1.Pozitia Financiara'!B:B)+SUMIF('1.Pozitia Financiara'!A:A,hiddenPage!AG10,'1.Pozitia Financiara'!C:C)+SUMIF('1.Pozitia Financiara'!A:A,hiddenPage!AG10,'1.Pozitia Financiara'!D:D)+SUMIF('1.Pozitia Financiara'!A:A,hiddenPage!AG10,'1.Pozitia Financiara'!E:E)+SUMIF('1.Pozitia Financiara'!A:A,hiddenPage!AG10,'1.Pozitia Financiara'!F:F)</f>
        <v>#REF!</v>
      </c>
      <c r="AI10" s="55" t="e">
        <f>LARGE($AH$3:$AH$13,ROWS(AG$3:$AG10))</f>
        <v>#REF!</v>
      </c>
      <c r="AJ10" s="38" t="e">
        <f t="shared" si="0"/>
        <v>#REF!</v>
      </c>
    </row>
    <row r="11" spans="1:36" x14ac:dyDescent="0.3">
      <c r="A11" s="41" t="str">
        <f>V4</f>
        <v>Total active curente</v>
      </c>
      <c r="B11" s="43"/>
      <c r="C11" s="43"/>
      <c r="D11" s="43">
        <f>SUMIF('1.Pozitia Financiara'!$A:$A,$A11,'1.Pozitia Financiara'!B:B)</f>
        <v>81105480</v>
      </c>
      <c r="E11" s="43">
        <f>SUMIF('1.Pozitia Financiara'!$A:$A,$A11,'1.Pozitia Financiara'!C:C)</f>
        <v>89830101</v>
      </c>
      <c r="F11" s="43">
        <f>SUMIF('1.Pozitia Financiara'!$A:$A,$A11,'1.Pozitia Financiara'!D:D)</f>
        <v>100208296</v>
      </c>
      <c r="G11" s="43">
        <f>SUMIF('1.Pozitia Financiara'!$A:$A,$A11,'1.Pozitia Financiara'!E:E)</f>
        <v>96764098.03478308</v>
      </c>
      <c r="H11" s="43">
        <f>SUMIF('1.Pozitia Financiara'!$A:$A,$A11,'1.Pozitia Financiara'!F:F)</f>
        <v>108380938.08471972</v>
      </c>
      <c r="I11" s="83">
        <f>SUMPRODUCT(D11:H11,$D$8:$H$8)</f>
        <v>108380938.08471972</v>
      </c>
      <c r="M11" s="48" t="s">
        <v>168</v>
      </c>
      <c r="AB11" s="38">
        <f t="shared" si="4"/>
        <v>9</v>
      </c>
      <c r="AC11" s="49" t="s">
        <v>133</v>
      </c>
      <c r="AD11" s="49" t="s">
        <v>7</v>
      </c>
      <c r="AE11" s="38" t="str">
        <f>IF(AC11=Grafice!$F$20,hiddenPage!AB11,"")</f>
        <v/>
      </c>
      <c r="AF11" s="38" t="e">
        <f>SMALL($AE$3:$AE$28,ROWS($AE$3:AE11))</f>
        <v>#NUM!</v>
      </c>
      <c r="AG11" s="38" t="str">
        <f t="shared" si="3"/>
        <v/>
      </c>
      <c r="AH11" s="43" t="e">
        <f>SUMIF('1.Pozitia Financiara'!A:A,hiddenPage!AG11,'1.Pozitia Financiara'!#REF!)+SUMIF('1.Pozitia Financiara'!A:A,hiddenPage!AG11,'1.Pozitia Financiara'!#REF!)+SUMIF('1.Pozitia Financiara'!A:A,hiddenPage!AG11,'1.Pozitia Financiara'!B:B)+SUMIF('1.Pozitia Financiara'!A:A,hiddenPage!AG11,'1.Pozitia Financiara'!C:C)+SUMIF('1.Pozitia Financiara'!A:A,hiddenPage!AG11,'1.Pozitia Financiara'!D:D)+SUMIF('1.Pozitia Financiara'!A:A,hiddenPage!AG11,'1.Pozitia Financiara'!E:E)+SUMIF('1.Pozitia Financiara'!A:A,hiddenPage!AG11,'1.Pozitia Financiara'!F:F)</f>
        <v>#REF!</v>
      </c>
      <c r="AI11" s="55" t="e">
        <f>LARGE($AH$3:$AH$13,ROWS(AG$3:$AG11))</f>
        <v>#REF!</v>
      </c>
      <c r="AJ11" s="38" t="e">
        <f t="shared" si="0"/>
        <v>#REF!</v>
      </c>
    </row>
    <row r="12" spans="1:36" x14ac:dyDescent="0.3">
      <c r="A12" s="38" t="str">
        <f>"Total "&amp;Grafice!O2</f>
        <v>Total Activ</v>
      </c>
      <c r="D12" s="51">
        <f>D10+D11</f>
        <v>349213241</v>
      </c>
      <c r="E12" s="51">
        <f t="shared" ref="E12:H12" si="6">E10+E11</f>
        <v>343041909</v>
      </c>
      <c r="F12" s="51">
        <f t="shared" si="6"/>
        <v>311246556</v>
      </c>
      <c r="G12" s="51">
        <f t="shared" si="6"/>
        <v>286116911.54846799</v>
      </c>
      <c r="H12" s="51">
        <f t="shared" si="6"/>
        <v>286427736.30710459</v>
      </c>
      <c r="M12" s="48" t="s">
        <v>172</v>
      </c>
      <c r="AB12" s="38">
        <f t="shared" si="4"/>
        <v>10</v>
      </c>
      <c r="AC12" s="49" t="s">
        <v>133</v>
      </c>
      <c r="AD12" s="49" t="s">
        <v>240</v>
      </c>
      <c r="AE12" s="38" t="str">
        <f>IF(AC12=Grafice!$F$20,hiddenPage!AB12,"")</f>
        <v/>
      </c>
      <c r="AF12" s="38" t="e">
        <f>SMALL($AE$3:$AE$28,ROWS($AE$3:AE12))</f>
        <v>#NUM!</v>
      </c>
      <c r="AG12" s="38" t="str">
        <f t="shared" si="3"/>
        <v/>
      </c>
      <c r="AH12" s="43" t="e">
        <f>SUMIF('1.Pozitia Financiara'!A:A,hiddenPage!AG12,'1.Pozitia Financiara'!#REF!)+SUMIF('1.Pozitia Financiara'!A:A,hiddenPage!AG12,'1.Pozitia Financiara'!#REF!)+SUMIF('1.Pozitia Financiara'!A:A,hiddenPage!AG12,'1.Pozitia Financiara'!B:B)+SUMIF('1.Pozitia Financiara'!A:A,hiddenPage!AG12,'1.Pozitia Financiara'!C:C)+SUMIF('1.Pozitia Financiara'!A:A,hiddenPage!AG12,'1.Pozitia Financiara'!D:D)+SUMIF('1.Pozitia Financiara'!A:A,hiddenPage!AG12,'1.Pozitia Financiara'!E:E)+SUMIF('1.Pozitia Financiara'!A:A,hiddenPage!AG12,'1.Pozitia Financiara'!F:F)</f>
        <v>#REF!</v>
      </c>
      <c r="AI12" s="55" t="e">
        <f>LARGE($AH$3:$AH$13,ROWS(AG$3:$AG12))</f>
        <v>#REF!</v>
      </c>
      <c r="AJ12" s="38" t="e">
        <f t="shared" si="0"/>
        <v>#REF!</v>
      </c>
    </row>
    <row r="13" spans="1:36" x14ac:dyDescent="0.3">
      <c r="A13" s="38" t="str">
        <f>"Structura indicatorului "&amp;Grafice!F20&amp;" la "&amp;" 30 iunie "&amp;I9</f>
        <v>Structura indicatorului Capitaluri la  30 iunie 2021</v>
      </c>
      <c r="AB13" s="38">
        <f t="shared" si="4"/>
        <v>11</v>
      </c>
      <c r="AC13" s="49" t="s">
        <v>133</v>
      </c>
      <c r="AD13" s="49" t="s">
        <v>241</v>
      </c>
      <c r="AE13" s="38" t="str">
        <f>IF(AC13=Grafice!$F$20,hiddenPage!AB13,"")</f>
        <v/>
      </c>
      <c r="AF13" s="38" t="e">
        <f>SMALL($AE$3:$AE$28,ROWS($AE$3:AE13))</f>
        <v>#NUM!</v>
      </c>
      <c r="AG13" s="38" t="str">
        <f t="shared" si="3"/>
        <v/>
      </c>
      <c r="AH13" s="43" t="e">
        <f>SUMIF('1.Pozitia Financiara'!A:A,hiddenPage!AG13,'1.Pozitia Financiara'!#REF!)+SUMIF('1.Pozitia Financiara'!A:A,hiddenPage!AG13,'1.Pozitia Financiara'!#REF!)+SUMIF('1.Pozitia Financiara'!A:A,hiddenPage!AG13,'1.Pozitia Financiara'!B:B)+SUMIF('1.Pozitia Financiara'!A:A,hiddenPage!AG13,'1.Pozitia Financiara'!C:C)+SUMIF('1.Pozitia Financiara'!A:A,hiddenPage!AG13,'1.Pozitia Financiara'!D:D)+SUMIF('1.Pozitia Financiara'!A:A,hiddenPage!AG13,'1.Pozitia Financiara'!E:E)+SUMIF('1.Pozitia Financiara'!A:A,hiddenPage!AG13,'1.Pozitia Financiara'!F:F)</f>
        <v>#REF!</v>
      </c>
      <c r="AI13" s="55" t="e">
        <f>LARGE($AH$3:$AH$13,ROWS(AG$3:$AG13))</f>
        <v>#REF!</v>
      </c>
      <c r="AJ13" s="38" t="e">
        <f t="shared" si="0"/>
        <v>#REF!</v>
      </c>
    </row>
    <row r="14" spans="1:36" x14ac:dyDescent="0.3">
      <c r="B14" s="38">
        <f>IF(Grafice!$F$21=B15,1,0)</f>
        <v>0</v>
      </c>
      <c r="C14" s="38">
        <f>IF(Grafice!$F$21=C15,1,0)</f>
        <v>0</v>
      </c>
      <c r="D14" s="38">
        <f>IF(Grafice!$F$21=D15,1,0)</f>
        <v>0</v>
      </c>
      <c r="E14" s="38">
        <f>IF(Grafice!$F$21=E15,1,0)</f>
        <v>0</v>
      </c>
      <c r="F14" s="38">
        <f>IF(Grafice!$F$21=F15,1,0)</f>
        <v>0</v>
      </c>
      <c r="G14" s="38">
        <f>IF(Grafice!$F$21=G15,1,0)</f>
        <v>0</v>
      </c>
      <c r="H14" s="38">
        <f>IF(Grafice!$F$21=H15,1,0)</f>
        <v>1</v>
      </c>
      <c r="AB14" s="38">
        <f t="shared" si="4"/>
        <v>12</v>
      </c>
      <c r="AC14" s="49" t="s">
        <v>133</v>
      </c>
      <c r="AD14" s="49" t="s">
        <v>242</v>
      </c>
      <c r="AE14" s="38" t="str">
        <f>IF(AC14=Grafice!$F$20,hiddenPage!AB14,"")</f>
        <v/>
      </c>
      <c r="AF14" s="38" t="e">
        <f>SMALL($AE$3:$AE$28,ROWS($AE$3:AE14))</f>
        <v>#NUM!</v>
      </c>
      <c r="AH14" s="43"/>
      <c r="AI14" s="55"/>
    </row>
    <row r="15" spans="1:36" x14ac:dyDescent="0.3">
      <c r="A15" s="40"/>
      <c r="B15" s="56"/>
      <c r="C15" s="56"/>
      <c r="D15" s="56">
        <f>D3</f>
        <v>2017</v>
      </c>
      <c r="E15" s="56">
        <f t="shared" ref="E15:H15" si="7">E3</f>
        <v>2018</v>
      </c>
      <c r="F15" s="56">
        <f t="shared" si="7"/>
        <v>2019</v>
      </c>
      <c r="G15" s="56">
        <f t="shared" si="7"/>
        <v>2020</v>
      </c>
      <c r="H15" s="56">
        <f t="shared" si="7"/>
        <v>2021</v>
      </c>
      <c r="I15" s="49" t="s">
        <v>98</v>
      </c>
      <c r="J15" s="49" t="s">
        <v>99</v>
      </c>
      <c r="K15" s="49"/>
      <c r="L15" s="49"/>
      <c r="M15" s="48" t="s">
        <v>100</v>
      </c>
      <c r="N15" s="49"/>
      <c r="O15" s="153" t="s">
        <v>101</v>
      </c>
      <c r="P15" s="153"/>
      <c r="Q15" s="153"/>
      <c r="R15" s="153" t="s">
        <v>102</v>
      </c>
      <c r="S15" s="153" t="s">
        <v>103</v>
      </c>
      <c r="AB15" s="38">
        <f t="shared" si="4"/>
        <v>13</v>
      </c>
      <c r="AC15" s="49" t="s">
        <v>133</v>
      </c>
      <c r="AD15" s="49" t="s">
        <v>165</v>
      </c>
      <c r="AE15" s="38" t="str">
        <f>IF(AC15=Grafice!$F$20,hiddenPage!AB15,"")</f>
        <v/>
      </c>
      <c r="AF15" s="38" t="e">
        <f>SMALL($AE$3:$AE$28,ROWS($AE$3:AE15))</f>
        <v>#NUM!</v>
      </c>
      <c r="AG15" s="38" t="str">
        <f>IF(ISERROR(VLOOKUP(AF15,$AB$3:$AD$30,3,0)),"",VLOOKUP(AF15,$AB$3:$AD$30,3,0))</f>
        <v/>
      </c>
    </row>
    <row r="16" spans="1:36" x14ac:dyDescent="0.3">
      <c r="A16" s="40" t="str">
        <f>AG3</f>
        <v>Capital social</v>
      </c>
      <c r="B16" s="57"/>
      <c r="C16" s="57"/>
      <c r="D16" s="57">
        <f>SUMIF('1.Pozitia Financiara'!$A:$A,$A16,'1.Pozitia Financiara'!B:B)</f>
        <v>26412211</v>
      </c>
      <c r="E16" s="57">
        <f>SUMIF('1.Pozitia Financiara'!$A:$A,$A16,'1.Pozitia Financiara'!C:C)</f>
        <v>26412211</v>
      </c>
      <c r="F16" s="57">
        <f>SUMIF('1.Pozitia Financiara'!$A:$A,$A16,'1.Pozitia Financiara'!D:D)</f>
        <v>26412110</v>
      </c>
      <c r="G16" s="57">
        <f>SUMIF('1.Pozitia Financiara'!$A:$A,$A16,'1.Pozitia Financiara'!E:E)</f>
        <v>26412210.343440004</v>
      </c>
      <c r="H16" s="57">
        <f>SUMIF('1.Pozitia Financiara'!$A:$A,$A16,'1.Pozitia Financiara'!F:F)</f>
        <v>26412210.343440004</v>
      </c>
      <c r="I16" s="58">
        <f>SUMPRODUCT($D$14:$H$14,D16:H16)</f>
        <v>26412210.343440004</v>
      </c>
      <c r="J16" s="59">
        <f>RANK(I16,$I$16:$I$22,0)+COUNTIF($I16:I$22,I16)-1</f>
        <v>3</v>
      </c>
      <c r="K16" s="49"/>
      <c r="L16" s="49"/>
      <c r="M16" s="48">
        <v>1</v>
      </c>
      <c r="N16" s="49"/>
      <c r="O16" s="153" t="str">
        <f>INDEX($A$16:$A$22,MATCH(M16,$J$16:$J$22,0))</f>
        <v>Rezerve</v>
      </c>
      <c r="P16" s="153"/>
      <c r="Q16" s="153"/>
      <c r="R16" s="154">
        <f>SUMIF($A$16:$A$22,O16,$I$16:$I$22)</f>
        <v>60919829.809163399</v>
      </c>
      <c r="S16" s="155">
        <f>R16/$R$23</f>
        <v>0.43018874461567547</v>
      </c>
      <c r="AB16" s="38">
        <f t="shared" si="4"/>
        <v>14</v>
      </c>
      <c r="AC16" s="49" t="s">
        <v>134</v>
      </c>
      <c r="AD16" s="49" t="s">
        <v>12</v>
      </c>
      <c r="AE16" s="38">
        <f>IF(AC16=Grafice!$F$20,hiddenPage!AB16,"")</f>
        <v>14</v>
      </c>
      <c r="AF16" s="38" t="e">
        <f>SMALL($AE$3:$AE$28,ROWS($AE$3:AE16))</f>
        <v>#NUM!</v>
      </c>
    </row>
    <row r="17" spans="1:32" x14ac:dyDescent="0.3">
      <c r="A17" s="40" t="str">
        <f t="shared" ref="A17:A22" si="8">AG4</f>
        <v>Prime de emisiune</v>
      </c>
      <c r="B17" s="57"/>
      <c r="C17" s="57"/>
      <c r="D17" s="57">
        <f>SUMIF('1.Pozitia Financiara'!$A:$A,$A17,'1.Pozitia Financiara'!B:B)</f>
        <v>2182283</v>
      </c>
      <c r="E17" s="57">
        <f>SUMIF('1.Pozitia Financiara'!$A:$A,$A17,'1.Pozitia Financiara'!C:C)</f>
        <v>2182283</v>
      </c>
      <c r="F17" s="57">
        <f>SUMIF('1.Pozitia Financiara'!$A:$A,$A17,'1.Pozitia Financiara'!D:D)</f>
        <v>2182283</v>
      </c>
      <c r="G17" s="57">
        <f>SUMIF('1.Pozitia Financiara'!$A:$A,$A17,'1.Pozitia Financiara'!E:E)</f>
        <v>2182283</v>
      </c>
      <c r="H17" s="57">
        <f>SUMIF('1.Pozitia Financiara'!$A:$A,$A17,'1.Pozitia Financiara'!F:F)</f>
        <v>2182283</v>
      </c>
      <c r="I17" s="58">
        <f t="shared" ref="I17:I22" si="9">SUMPRODUCT($D$14:$H$14,D17:H17)</f>
        <v>2182283</v>
      </c>
      <c r="J17" s="59">
        <f>RANK(I17,$I$16:$I$22,0)+COUNTIF($I17:I$22,I17)-1</f>
        <v>4</v>
      </c>
      <c r="K17" s="49"/>
      <c r="L17" s="49"/>
      <c r="M17" s="48">
        <v>2</v>
      </c>
      <c r="N17" s="49"/>
      <c r="O17" s="153" t="str">
        <f t="shared" ref="O17:O22" si="10">INDEX($A$16:$A$22,MATCH(M17,$J$16:$J$22,0))</f>
        <v>Rezultat reportat</v>
      </c>
      <c r="P17" s="153"/>
      <c r="Q17" s="153"/>
      <c r="R17" s="154">
        <f t="shared" ref="R17:R22" si="11">SUMIF($A$16:$A$22,O17,$I$16:$I$22)</f>
        <v>51180502.701539703</v>
      </c>
      <c r="S17" s="155">
        <f t="shared" ref="S17:S22" si="12">R17/$R$23</f>
        <v>0.36141394805181759</v>
      </c>
      <c r="AB17" s="38">
        <f t="shared" si="4"/>
        <v>15</v>
      </c>
      <c r="AC17" s="49" t="s">
        <v>134</v>
      </c>
      <c r="AD17" s="49" t="s">
        <v>197</v>
      </c>
      <c r="AE17" s="38">
        <f>IF(AC17=Grafice!$F$20,hiddenPage!AB17,"")</f>
        <v>15</v>
      </c>
      <c r="AF17" s="38" t="e">
        <f>SMALL($AE$3:$AE$28,ROWS($AE$3:AE17))</f>
        <v>#NUM!</v>
      </c>
    </row>
    <row r="18" spans="1:32" x14ac:dyDescent="0.3">
      <c r="A18" s="40" t="str">
        <f t="shared" si="8"/>
        <v>Rezerve</v>
      </c>
      <c r="B18" s="57"/>
      <c r="C18" s="57"/>
      <c r="D18" s="57">
        <f>SUMIF('1.Pozitia Financiara'!$A:$A,$A18,'1.Pozitia Financiara'!B:B)</f>
        <v>55531564</v>
      </c>
      <c r="E18" s="57">
        <f>SUMIF('1.Pozitia Financiara'!$A:$A,$A18,'1.Pozitia Financiara'!C:C)</f>
        <v>54472464</v>
      </c>
      <c r="F18" s="57">
        <f>SUMIF('1.Pozitia Financiara'!$A:$A,$A18,'1.Pozitia Financiara'!D:D)</f>
        <v>59434062</v>
      </c>
      <c r="G18" s="57">
        <f>SUMIF('1.Pozitia Financiara'!$A:$A,$A18,'1.Pozitia Financiara'!E:E)</f>
        <v>59790294.013682067</v>
      </c>
      <c r="H18" s="57">
        <f>SUMIF('1.Pozitia Financiara'!$A:$A,$A18,'1.Pozitia Financiara'!F:F)</f>
        <v>60919829.809163399</v>
      </c>
      <c r="I18" s="58">
        <f t="shared" si="9"/>
        <v>60919829.809163399</v>
      </c>
      <c r="J18" s="59">
        <f>RANK(I18,$I$16:$I$22,0)+COUNTIF($I18:I$22,I18)-1</f>
        <v>1</v>
      </c>
      <c r="K18" s="49"/>
      <c r="L18" s="49"/>
      <c r="M18" s="48">
        <v>3</v>
      </c>
      <c r="N18" s="49"/>
      <c r="O18" s="153" t="str">
        <f>INDEX($A$16:$A$22,MATCH(M18,$J$16:$J$22,0))</f>
        <v>Capital social</v>
      </c>
      <c r="P18" s="153"/>
      <c r="Q18" s="153"/>
      <c r="R18" s="154">
        <f t="shared" si="11"/>
        <v>26412210.343440004</v>
      </c>
      <c r="S18" s="155">
        <f t="shared" si="12"/>
        <v>0.1865112828739475</v>
      </c>
      <c r="AB18" s="38">
        <f t="shared" si="4"/>
        <v>16</v>
      </c>
      <c r="AC18" s="49" t="s">
        <v>134</v>
      </c>
      <c r="AD18" s="49" t="s">
        <v>15</v>
      </c>
      <c r="AE18" s="38">
        <f>IF(AC18=Grafice!$F$20,hiddenPage!AB18,"")</f>
        <v>16</v>
      </c>
      <c r="AF18" s="38" t="e">
        <f>SMALL($AE$3:$AE$28,ROWS($AE$3:AE18))</f>
        <v>#NUM!</v>
      </c>
    </row>
    <row r="19" spans="1:32" x14ac:dyDescent="0.3">
      <c r="A19" s="40" t="str">
        <f t="shared" si="8"/>
        <v>Rezultat reportat</v>
      </c>
      <c r="B19" s="57"/>
      <c r="C19" s="57"/>
      <c r="D19" s="57">
        <f>SUMIF('1.Pozitia Financiara'!$A:$A,$A19,'1.Pozitia Financiara'!B:B)</f>
        <v>63416916</v>
      </c>
      <c r="E19" s="57">
        <f>SUMIF('1.Pozitia Financiara'!$A:$A,$A19,'1.Pozitia Financiara'!C:C)</f>
        <v>64637293</v>
      </c>
      <c r="F19" s="57">
        <f>SUMIF('1.Pozitia Financiara'!$A:$A,$A19,'1.Pozitia Financiara'!D:D)</f>
        <v>51863731</v>
      </c>
      <c r="G19" s="57">
        <f>SUMIF('1.Pozitia Financiara'!$A:$A,$A19,'1.Pozitia Financiara'!E:E)</f>
        <v>48287043.513360359</v>
      </c>
      <c r="H19" s="57">
        <f>SUMIF('1.Pozitia Financiara'!$A:$A,$A19,'1.Pozitia Financiara'!F:F)</f>
        <v>51180502.701539703</v>
      </c>
      <c r="I19" s="58">
        <f t="shared" si="9"/>
        <v>51180502.701539703</v>
      </c>
      <c r="J19" s="59">
        <f>RANK(I19,$I$16:$I$22,0)+COUNTIF($I19:I$22,I19)-1</f>
        <v>2</v>
      </c>
      <c r="K19" s="49"/>
      <c r="L19" s="49"/>
      <c r="M19" s="48">
        <v>4</v>
      </c>
      <c r="N19" s="49"/>
      <c r="O19" s="153" t="str">
        <f t="shared" si="10"/>
        <v>Prime de emisiune</v>
      </c>
      <c r="P19" s="153"/>
      <c r="Q19" s="153"/>
      <c r="R19" s="154">
        <f t="shared" si="11"/>
        <v>2182283</v>
      </c>
      <c r="S19" s="155">
        <f t="shared" si="12"/>
        <v>1.5410311997045652E-2</v>
      </c>
      <c r="AB19" s="38">
        <f t="shared" si="4"/>
        <v>17</v>
      </c>
      <c r="AC19" s="49" t="s">
        <v>134</v>
      </c>
      <c r="AD19" s="49" t="s">
        <v>16</v>
      </c>
      <c r="AE19" s="38">
        <f>IF(AC19=Grafice!$F$20,hiddenPage!AB19,"")</f>
        <v>17</v>
      </c>
      <c r="AF19" s="38" t="e">
        <f>SMALL($AE$3:$AE$28,ROWS($AE$3:AE19))</f>
        <v>#NUM!</v>
      </c>
    </row>
    <row r="20" spans="1:32" x14ac:dyDescent="0.3">
      <c r="A20" s="40" t="str">
        <f t="shared" si="8"/>
        <v>Interese minoritare</v>
      </c>
      <c r="B20" s="57"/>
      <c r="C20" s="57"/>
      <c r="D20" s="57">
        <f>SUMIF('1.Pozitia Financiara'!$A:$A,$A20,'1.Pozitia Financiara'!B:B)</f>
        <v>1047246</v>
      </c>
      <c r="E20" s="57">
        <f>SUMIF('1.Pozitia Financiara'!$A:$A,$A20,'1.Pozitia Financiara'!C:C)</f>
        <v>979401</v>
      </c>
      <c r="F20" s="57">
        <f>SUMIF('1.Pozitia Financiara'!$A:$A,$A20,'1.Pozitia Financiara'!D:D)</f>
        <v>918613</v>
      </c>
      <c r="G20" s="57">
        <f>SUMIF('1.Pozitia Financiara'!$A:$A,$A20,'1.Pozitia Financiara'!E:E)</f>
        <v>909560.97108332929</v>
      </c>
      <c r="H20" s="57">
        <f>SUMIF('1.Pozitia Financiara'!$A:$A,$A20,'1.Pozitia Financiara'!F:F)</f>
        <v>917037.70957776741</v>
      </c>
      <c r="I20" s="58">
        <f t="shared" si="9"/>
        <v>917037.70957776741</v>
      </c>
      <c r="J20" s="59">
        <f>RANK(I20,$I$16:$I$22,0)+COUNTIF($I20:I$22,I20)-1</f>
        <v>5</v>
      </c>
      <c r="K20" s="49"/>
      <c r="L20" s="49"/>
      <c r="M20" s="48">
        <v>5</v>
      </c>
      <c r="N20" s="49"/>
      <c r="O20" s="153" t="str">
        <f>INDEX($A$16:$A$22,MATCH(M20,$J$16:$J$22,0))</f>
        <v>Interese minoritare</v>
      </c>
      <c r="P20" s="153"/>
      <c r="Q20" s="153"/>
      <c r="R20" s="154">
        <f t="shared" si="11"/>
        <v>917037.70957776741</v>
      </c>
      <c r="S20" s="155">
        <f t="shared" si="12"/>
        <v>6.4757124615137159E-3</v>
      </c>
      <c r="AB20" s="38">
        <f t="shared" si="4"/>
        <v>18</v>
      </c>
      <c r="AC20" s="49" t="s">
        <v>134</v>
      </c>
      <c r="AD20" s="49" t="s">
        <v>200</v>
      </c>
      <c r="AE20" s="38">
        <f>IF(AC20=Grafice!$F$20,hiddenPage!AB20,"")</f>
        <v>18</v>
      </c>
      <c r="AF20" s="38" t="e">
        <f>SMALL($AE$3:$AE$28,ROWS($AE$3:AE20))</f>
        <v>#NUM!</v>
      </c>
    </row>
    <row r="21" spans="1:32" x14ac:dyDescent="0.3">
      <c r="A21" s="40" t="str">
        <f t="shared" si="8"/>
        <v/>
      </c>
      <c r="B21" s="57"/>
      <c r="C21" s="57"/>
      <c r="D21" s="57">
        <f>SUMIF('1.Pozitia Financiara'!$A:$A,$A21,'1.Pozitia Financiara'!B:B)</f>
        <v>0</v>
      </c>
      <c r="E21" s="57">
        <f>SUMIF('1.Pozitia Financiara'!$A:$A,$A21,'1.Pozitia Financiara'!C:C)</f>
        <v>0</v>
      </c>
      <c r="F21" s="57">
        <f>SUMIF('1.Pozitia Financiara'!$A:$A,$A21,'1.Pozitia Financiara'!D:D)</f>
        <v>0</v>
      </c>
      <c r="G21" s="57">
        <f>SUMIF('1.Pozitia Financiara'!$A:$A,$A21,'1.Pozitia Financiara'!E:E)</f>
        <v>0</v>
      </c>
      <c r="H21" s="57">
        <f>SUMIF('1.Pozitia Financiara'!$A:$A,$A21,'1.Pozitia Financiara'!F:F)</f>
        <v>0</v>
      </c>
      <c r="I21" s="58">
        <f t="shared" si="9"/>
        <v>0</v>
      </c>
      <c r="J21" s="59">
        <f>RANK(I21,$I$16:$I$22,0)+COUNTIF($I21:I$22,I21)-1</f>
        <v>7</v>
      </c>
      <c r="K21" s="49"/>
      <c r="L21" s="49"/>
      <c r="M21" s="48">
        <v>6</v>
      </c>
      <c r="N21" s="49"/>
      <c r="O21" s="153" t="str">
        <f t="shared" si="10"/>
        <v/>
      </c>
      <c r="P21" s="153"/>
      <c r="Q21" s="153"/>
      <c r="R21" s="154">
        <f t="shared" si="11"/>
        <v>0</v>
      </c>
      <c r="S21" s="155">
        <f t="shared" si="12"/>
        <v>0</v>
      </c>
      <c r="AB21" s="38">
        <f t="shared" si="4"/>
        <v>19</v>
      </c>
      <c r="AC21" s="49" t="s">
        <v>144</v>
      </c>
      <c r="AD21" s="49" t="s">
        <v>244</v>
      </c>
      <c r="AE21" s="38" t="str">
        <f>IF(AC21=Grafice!$F$20,hiddenPage!AB21,"")</f>
        <v/>
      </c>
      <c r="AF21" s="38" t="e">
        <f>SMALL($AE$3:$AE$28,ROWS($AE$3:AE21))</f>
        <v>#NUM!</v>
      </c>
    </row>
    <row r="22" spans="1:32" x14ac:dyDescent="0.3">
      <c r="A22" s="40" t="str">
        <f t="shared" si="8"/>
        <v/>
      </c>
      <c r="B22" s="57"/>
      <c r="C22" s="57"/>
      <c r="D22" s="57">
        <f>SUMIF('1.Pozitia Financiara'!$A:$A,$A22,'1.Pozitia Financiara'!B:B)</f>
        <v>0</v>
      </c>
      <c r="E22" s="57">
        <f>SUMIF('1.Pozitia Financiara'!$A:$A,$A22,'1.Pozitia Financiara'!C:C)</f>
        <v>0</v>
      </c>
      <c r="F22" s="57">
        <f>SUMIF('1.Pozitia Financiara'!$A:$A,$A22,'1.Pozitia Financiara'!D:D)</f>
        <v>0</v>
      </c>
      <c r="G22" s="57">
        <f>SUMIF('1.Pozitia Financiara'!$A:$A,$A22,'1.Pozitia Financiara'!E:E)</f>
        <v>0</v>
      </c>
      <c r="H22" s="57">
        <f>SUMIF('1.Pozitia Financiara'!$A:$A,$A22,'1.Pozitia Financiara'!F:F)</f>
        <v>0</v>
      </c>
      <c r="I22" s="58">
        <f t="shared" si="9"/>
        <v>0</v>
      </c>
      <c r="J22" s="59">
        <f>RANK(I22,$I$16:$I$22,0)+COUNTIF($I22:I$22,I22)-1</f>
        <v>6</v>
      </c>
      <c r="K22" s="49"/>
      <c r="L22" s="49"/>
      <c r="M22" s="48">
        <v>7</v>
      </c>
      <c r="N22" s="49"/>
      <c r="O22" s="153" t="str">
        <f t="shared" si="10"/>
        <v/>
      </c>
      <c r="P22" s="153"/>
      <c r="Q22" s="153"/>
      <c r="R22" s="154">
        <f t="shared" si="11"/>
        <v>0</v>
      </c>
      <c r="S22" s="155">
        <f t="shared" si="12"/>
        <v>0</v>
      </c>
      <c r="AB22" s="38">
        <f t="shared" si="4"/>
        <v>20</v>
      </c>
      <c r="AC22" s="49" t="s">
        <v>144</v>
      </c>
      <c r="AD22" s="49" t="s">
        <v>204</v>
      </c>
      <c r="AE22" s="38" t="str">
        <f>IF(AC22=Grafice!$F$20,hiddenPage!AB22,"")</f>
        <v/>
      </c>
      <c r="AF22" s="38" t="e">
        <f>SMALL($AE$3:$AE$28,ROWS($AE$3:AE22))</f>
        <v>#NUM!</v>
      </c>
    </row>
    <row r="23" spans="1:32" x14ac:dyDescent="0.3">
      <c r="O23" s="156" t="str">
        <f>"Total  : "&amp;TEXT(R23,"#,##0;[Red]-#,##0")&amp;" lei"</f>
        <v>Total  : 141,611,864 lei</v>
      </c>
      <c r="P23" s="39"/>
      <c r="Q23" s="39"/>
      <c r="R23" s="157">
        <f>SUM(R16:R22)</f>
        <v>141611863.56372088</v>
      </c>
      <c r="S23" s="39"/>
      <c r="AB23" s="38">
        <f t="shared" si="4"/>
        <v>21</v>
      </c>
      <c r="AC23" s="49" t="s">
        <v>144</v>
      </c>
      <c r="AD23" s="49" t="s">
        <v>168</v>
      </c>
      <c r="AE23" s="38" t="str">
        <f>IF(AC23=Grafice!$F$20,hiddenPage!AB23,"")</f>
        <v/>
      </c>
      <c r="AF23" s="38" t="e">
        <f>SMALL($AE$3:$AE$28,ROWS($AE$3:AE23))</f>
        <v>#NUM!</v>
      </c>
    </row>
    <row r="24" spans="1:32" x14ac:dyDescent="0.3">
      <c r="A24" s="38" t="str">
        <f>Grafice!T20</f>
        <v>Total capitaluri</v>
      </c>
      <c r="D24" s="38" t="str">
        <f>"Evolutia indicatorului "&amp;A24&amp;" in perioada "&amp;Data_Interim!L3&amp;" - "&amp;Data_Interim!P3</f>
        <v>Evolutia indicatorului Total capitaluri in perioada 2017 - 2021</v>
      </c>
      <c r="AB24" s="38">
        <f t="shared" si="4"/>
        <v>22</v>
      </c>
      <c r="AC24" s="49" t="s">
        <v>144</v>
      </c>
      <c r="AD24" s="49" t="s">
        <v>245</v>
      </c>
      <c r="AE24" s="38" t="str">
        <f>IF(AC24=Grafice!$F$20,hiddenPage!AB24,"")</f>
        <v/>
      </c>
      <c r="AF24" s="38" t="e">
        <f>SMALL($AE$3:$AE$28,ROWS($AE$3:AE24))</f>
        <v>#NUM!</v>
      </c>
    </row>
    <row r="25" spans="1:32" x14ac:dyDescent="0.3">
      <c r="A25" s="38">
        <f>Data_Interim!L3</f>
        <v>2017</v>
      </c>
      <c r="B25" s="43">
        <f>SUMIF('1.Pozitia Financiara'!$A:$A,hiddenPage!$A$24,'1.Pozitia Financiara'!B:B)</f>
        <v>148590220</v>
      </c>
      <c r="C25" s="43"/>
      <c r="D25" s="44"/>
      <c r="E25" s="43"/>
      <c r="F25" s="43"/>
      <c r="G25" s="43"/>
      <c r="AB25" s="38">
        <f t="shared" si="4"/>
        <v>23</v>
      </c>
      <c r="AC25" s="49" t="s">
        <v>145</v>
      </c>
      <c r="AD25" s="38" t="s">
        <v>171</v>
      </c>
      <c r="AE25" s="38" t="str">
        <f>IF(AC25=Grafice!$F$20,hiddenPage!AB25,"")</f>
        <v/>
      </c>
      <c r="AF25" s="38" t="e">
        <f>SMALL($AE$3:$AE$28,ROWS($AE$3:AE25))</f>
        <v>#NUM!</v>
      </c>
    </row>
    <row r="26" spans="1:32" x14ac:dyDescent="0.3">
      <c r="A26" s="38">
        <f t="shared" ref="A26:A29" si="13">A25+1</f>
        <v>2018</v>
      </c>
      <c r="B26" s="43">
        <f>SUMIF('1.Pozitia Financiara'!$A:$A,hiddenPage!$A$24,'1.Pozitia Financiara'!C:C)</f>
        <v>148683652</v>
      </c>
      <c r="C26" s="43"/>
      <c r="D26" s="44"/>
      <c r="E26" s="43"/>
      <c r="F26" s="43"/>
      <c r="G26" s="43"/>
      <c r="AB26" s="38">
        <f t="shared" si="4"/>
        <v>24</v>
      </c>
      <c r="AC26" s="49" t="s">
        <v>145</v>
      </c>
      <c r="AD26" s="38" t="s">
        <v>172</v>
      </c>
      <c r="AE26" s="38" t="str">
        <f>IF(AC26=Grafice!$F$20,hiddenPage!AB26,"")</f>
        <v/>
      </c>
      <c r="AF26" s="38" t="e">
        <f>SMALL($AE$3:$AE$28,ROWS($AE$3:AE26))</f>
        <v>#NUM!</v>
      </c>
    </row>
    <row r="27" spans="1:32" x14ac:dyDescent="0.3">
      <c r="A27" s="38">
        <f t="shared" si="13"/>
        <v>2019</v>
      </c>
      <c r="B27" s="43">
        <f>SUMIF('1.Pozitia Financiara'!$A:$A,hiddenPage!$A$24,'1.Pozitia Financiara'!D:D)</f>
        <v>140810799</v>
      </c>
      <c r="C27" s="43"/>
      <c r="D27" s="44"/>
      <c r="E27" s="43"/>
      <c r="F27" s="43"/>
      <c r="G27" s="43"/>
      <c r="AB27" s="38">
        <f t="shared" si="4"/>
        <v>25</v>
      </c>
      <c r="AC27" s="49" t="s">
        <v>145</v>
      </c>
      <c r="AD27" s="38" t="s">
        <v>174</v>
      </c>
      <c r="AE27" s="38" t="str">
        <f>IF(AC27=Grafice!$F$20,hiddenPage!AB27,"")</f>
        <v/>
      </c>
      <c r="AF27" s="38" t="e">
        <f>SMALL($AE$3:$AE$28,ROWS($AE$3:AE27))</f>
        <v>#NUM!</v>
      </c>
    </row>
    <row r="28" spans="1:32" x14ac:dyDescent="0.3">
      <c r="A28" s="38">
        <f t="shared" si="13"/>
        <v>2020</v>
      </c>
      <c r="B28" s="43">
        <f>SUMIF('1.Pozitia Financiara'!$A:$A,hiddenPage!$A$24,'1.Pozitia Financiara'!E:E)</f>
        <v>137581391.84156576</v>
      </c>
      <c r="C28" s="43"/>
      <c r="D28" s="44"/>
      <c r="E28" s="43"/>
      <c r="F28" s="43"/>
      <c r="G28" s="43"/>
      <c r="AC28" s="49"/>
      <c r="AE28" s="38" t="str">
        <f>IF(AC28=Grafice!$F$20,hiddenPage!AB28,"")</f>
        <v/>
      </c>
    </row>
    <row r="29" spans="1:32" x14ac:dyDescent="0.3">
      <c r="A29" s="38">
        <f t="shared" si="13"/>
        <v>2021</v>
      </c>
      <c r="B29" s="43">
        <f>SUMIF('1.Pozitia Financiara'!$A:$A,hiddenPage!$A$24,'1.Pozitia Financiara'!F:F)</f>
        <v>141611863.56372088</v>
      </c>
      <c r="C29" s="43"/>
      <c r="D29" s="44"/>
      <c r="E29" s="43"/>
      <c r="F29" s="43"/>
      <c r="G29" s="43"/>
    </row>
    <row r="31" spans="1:32" x14ac:dyDescent="0.3">
      <c r="B31" s="49" t="s">
        <v>93</v>
      </c>
      <c r="C31" s="49" t="s">
        <v>94</v>
      </c>
      <c r="D31" s="49" t="s">
        <v>95</v>
      </c>
      <c r="E31" s="49" t="s">
        <v>96</v>
      </c>
      <c r="F31" s="49" t="s">
        <v>92</v>
      </c>
      <c r="G31" s="49" t="s">
        <v>97</v>
      </c>
    </row>
    <row r="32" spans="1:32" x14ac:dyDescent="0.3">
      <c r="A32" s="50"/>
      <c r="F32" s="51">
        <f>B25</f>
        <v>148590220</v>
      </c>
      <c r="G32" s="51">
        <f>F32</f>
        <v>148590220</v>
      </c>
    </row>
    <row r="33" spans="1:9" x14ac:dyDescent="0.3">
      <c r="A33" s="38" t="str">
        <f>I33&amp;A26</f>
        <v>Iun.2018</v>
      </c>
      <c r="B33" s="45">
        <f>SUM(B32,E32:F32)-D33</f>
        <v>148590220</v>
      </c>
      <c r="C33" s="45"/>
      <c r="D33" s="45">
        <f>IF(G33&lt;0,-G33,0)</f>
        <v>0</v>
      </c>
      <c r="E33" s="45">
        <f>IF(G33&gt;0,G33,0)</f>
        <v>93432</v>
      </c>
      <c r="G33" s="51">
        <f>B26-B25</f>
        <v>93432</v>
      </c>
      <c r="I33" s="49" t="s">
        <v>259</v>
      </c>
    </row>
    <row r="34" spans="1:9" x14ac:dyDescent="0.3">
      <c r="A34" s="38" t="str">
        <f t="shared" ref="A34:A36" si="14">I34&amp;A27</f>
        <v>Iun.2019</v>
      </c>
      <c r="B34" s="45">
        <f t="shared" ref="B34:B36" si="15">SUM(B33,E33:F33)-D34</f>
        <v>140810799</v>
      </c>
      <c r="C34" s="45"/>
      <c r="D34" s="45">
        <f t="shared" ref="D34:D36" si="16">IF(G34&lt;0,-G34,0)</f>
        <v>7872853</v>
      </c>
      <c r="E34" s="45">
        <f t="shared" ref="E34:E35" si="17">IF(G34&gt;0,G34,0)</f>
        <v>0</v>
      </c>
      <c r="G34" s="51">
        <f t="shared" ref="G34:G35" si="18">B27-B26</f>
        <v>-7872853</v>
      </c>
      <c r="I34" s="49" t="s">
        <v>259</v>
      </c>
    </row>
    <row r="35" spans="1:9" x14ac:dyDescent="0.3">
      <c r="A35" s="38" t="str">
        <f t="shared" si="14"/>
        <v>Iun.2020</v>
      </c>
      <c r="B35" s="45">
        <f t="shared" si="15"/>
        <v>137581391.84156576</v>
      </c>
      <c r="C35" s="45"/>
      <c r="D35" s="45">
        <f t="shared" si="16"/>
        <v>3229407.158434242</v>
      </c>
      <c r="E35" s="45">
        <f t="shared" si="17"/>
        <v>0</v>
      </c>
      <c r="G35" s="51">
        <f t="shared" si="18"/>
        <v>-3229407.158434242</v>
      </c>
      <c r="I35" s="49" t="s">
        <v>259</v>
      </c>
    </row>
    <row r="36" spans="1:9" x14ac:dyDescent="0.3">
      <c r="A36" s="38" t="str">
        <f t="shared" si="14"/>
        <v>Iun.2021</v>
      </c>
      <c r="B36" s="45">
        <f t="shared" si="15"/>
        <v>137581391.84156576</v>
      </c>
      <c r="C36" s="45"/>
      <c r="D36" s="45">
        <f t="shared" si="16"/>
        <v>0</v>
      </c>
      <c r="E36" s="45">
        <f>IF(G36&gt;0,G36,0)</f>
        <v>4030471.7221551239</v>
      </c>
      <c r="G36" s="51">
        <f>B29-B28</f>
        <v>4030471.7221551239</v>
      </c>
      <c r="I36" s="49" t="s">
        <v>259</v>
      </c>
    </row>
    <row r="37" spans="1:9" x14ac:dyDescent="0.3">
      <c r="A37" s="39"/>
      <c r="B37" s="45"/>
      <c r="C37" s="45">
        <f t="shared" ref="C37" si="19">SUM(B36,E36:F36)-D37</f>
        <v>141611863.56372088</v>
      </c>
      <c r="D37" s="45"/>
      <c r="E37" s="45"/>
      <c r="G37" s="51"/>
    </row>
    <row r="43" spans="1:9" x14ac:dyDescent="0.3">
      <c r="D43" s="38">
        <f>D9</f>
        <v>2017</v>
      </c>
      <c r="E43" s="38">
        <f t="shared" ref="E43:H43" si="20">E9</f>
        <v>2018</v>
      </c>
      <c r="F43" s="38">
        <f t="shared" si="20"/>
        <v>2019</v>
      </c>
      <c r="G43" s="38">
        <f t="shared" si="20"/>
        <v>2020</v>
      </c>
      <c r="H43" s="38">
        <f t="shared" si="20"/>
        <v>2021</v>
      </c>
    </row>
    <row r="44" spans="1:9" x14ac:dyDescent="0.3">
      <c r="A44" s="41" t="str">
        <f>A10</f>
        <v>Total active pe termen lung</v>
      </c>
      <c r="D44" s="82">
        <f>D10/D$12</f>
        <v>0.76774798181263693</v>
      </c>
      <c r="E44" s="82">
        <f t="shared" ref="E44:H44" si="21">E10/E$12</f>
        <v>0.73813665723274646</v>
      </c>
      <c r="F44" s="82">
        <f t="shared" si="21"/>
        <v>0.67804207285750662</v>
      </c>
      <c r="G44" s="82">
        <f t="shared" si="21"/>
        <v>0.66180224191889014</v>
      </c>
      <c r="H44" s="82">
        <f t="shared" si="21"/>
        <v>0.6216115817480925</v>
      </c>
    </row>
    <row r="45" spans="1:9" x14ac:dyDescent="0.3">
      <c r="A45" s="41" t="str">
        <f>A11</f>
        <v>Total active curente</v>
      </c>
      <c r="D45" s="82">
        <f>D11/D$12</f>
        <v>0.23225201818736307</v>
      </c>
      <c r="E45" s="82">
        <f t="shared" ref="E45:H45" si="22">E11/E$12</f>
        <v>0.26186334276725354</v>
      </c>
      <c r="F45" s="82">
        <f t="shared" si="22"/>
        <v>0.32195792714249344</v>
      </c>
      <c r="G45" s="82">
        <f t="shared" si="22"/>
        <v>0.33819775808110986</v>
      </c>
      <c r="H45" s="82">
        <f t="shared" si="22"/>
        <v>0.37838841825190733</v>
      </c>
    </row>
    <row r="49" spans="1:9" x14ac:dyDescent="0.3">
      <c r="D49" s="38">
        <f>IF(D50=Grafice!$U$2,1,0)</f>
        <v>0</v>
      </c>
      <c r="E49" s="38">
        <f>IF(E50=Grafice!$U$2,1,0)</f>
        <v>0</v>
      </c>
      <c r="F49" s="38">
        <f>IF(F50=Grafice!$U$2,1,0)</f>
        <v>0</v>
      </c>
      <c r="G49" s="38">
        <f>IF(G50=Grafice!$U$2,1,0)</f>
        <v>0</v>
      </c>
      <c r="H49" s="38">
        <f>IF(H50=Grafice!$U$2,1,0)</f>
        <v>1</v>
      </c>
    </row>
    <row r="50" spans="1:9" x14ac:dyDescent="0.3">
      <c r="B50" s="42"/>
      <c r="C50" s="42"/>
      <c r="D50" s="42">
        <f>Data_Interim!L3</f>
        <v>2017</v>
      </c>
      <c r="E50" s="42">
        <f>Data_Interim!M3</f>
        <v>2018</v>
      </c>
      <c r="F50" s="42">
        <f>Data_Interim!N3</f>
        <v>2019</v>
      </c>
      <c r="G50" s="42">
        <f>Data_Interim!O3</f>
        <v>2020</v>
      </c>
      <c r="H50" s="42">
        <f>Data_Interim!P3</f>
        <v>2021</v>
      </c>
    </row>
    <row r="51" spans="1:9" x14ac:dyDescent="0.3">
      <c r="A51" s="41" t="s">
        <v>5</v>
      </c>
      <c r="B51" s="58" t="s">
        <v>132</v>
      </c>
      <c r="C51" s="43"/>
      <c r="D51" s="43">
        <f>SUMIF('1.Pozitia Financiara'!$A:$A,$A51,'1.Pozitia Financiara'!B:B)</f>
        <v>268107761</v>
      </c>
      <c r="E51" s="43">
        <f>SUMIF('1.Pozitia Financiara'!$A:$A,$A51,'1.Pozitia Financiara'!C:C)</f>
        <v>253211808</v>
      </c>
      <c r="F51" s="43">
        <f>SUMIF('1.Pozitia Financiara'!$A:$A,$A51,'1.Pozitia Financiara'!D:D)</f>
        <v>211038260</v>
      </c>
      <c r="G51" s="43">
        <f>SUMIF('1.Pozitia Financiara'!$A:$A,$A51,'1.Pozitia Financiara'!E:E)</f>
        <v>189352813.5136849</v>
      </c>
      <c r="H51" s="43">
        <f>SUMIF('1.Pozitia Financiara'!$A:$A,$A51,'1.Pozitia Financiara'!F:F)</f>
        <v>178046798.22238484</v>
      </c>
      <c r="I51" s="43">
        <f>SUMPRODUCT($D$49:$H$49,D51:H51)</f>
        <v>178046798.22238484</v>
      </c>
    </row>
    <row r="52" spans="1:9" x14ac:dyDescent="0.3">
      <c r="A52" s="41" t="s">
        <v>8</v>
      </c>
      <c r="B52" s="58" t="s">
        <v>133</v>
      </c>
      <c r="C52" s="43"/>
      <c r="D52" s="43">
        <f>SUMIF('1.Pozitia Financiara'!$A:$A,$A52,'1.Pozitia Financiara'!B:B)</f>
        <v>81105480</v>
      </c>
      <c r="E52" s="43">
        <f>SUMIF('1.Pozitia Financiara'!$A:$A,$A52,'1.Pozitia Financiara'!C:C)</f>
        <v>89830101</v>
      </c>
      <c r="F52" s="43">
        <f>SUMIF('1.Pozitia Financiara'!$A:$A,$A52,'1.Pozitia Financiara'!D:D)</f>
        <v>100208296</v>
      </c>
      <c r="G52" s="43">
        <f>SUMIF('1.Pozitia Financiara'!$A:$A,$A52,'1.Pozitia Financiara'!E:E)</f>
        <v>96764098.03478308</v>
      </c>
      <c r="H52" s="43">
        <f>SUMIF('1.Pozitia Financiara'!$A:$A,$A52,'1.Pozitia Financiara'!F:F)</f>
        <v>108380938.08471972</v>
      </c>
      <c r="I52" s="43">
        <f t="shared" ref="I52:I55" si="23">SUMPRODUCT($D$49:$H$49,D52:H52)</f>
        <v>108380938.08471972</v>
      </c>
    </row>
    <row r="53" spans="1:9" x14ac:dyDescent="0.3">
      <c r="A53" s="38" t="s">
        <v>21</v>
      </c>
      <c r="B53" s="49" t="s">
        <v>144</v>
      </c>
      <c r="D53" s="43">
        <f>SUMIF('1.Pozitia Financiara'!$A:$A,$A53,'1.Pozitia Financiara'!B:B)</f>
        <v>98128129</v>
      </c>
      <c r="E53" s="43">
        <f>SUMIF('1.Pozitia Financiara'!$A:$A,$A53,'1.Pozitia Financiara'!C:C)</f>
        <v>86364170</v>
      </c>
      <c r="F53" s="43">
        <f>SUMIF('1.Pozitia Financiara'!$A:$A,$A53,'1.Pozitia Financiara'!D:D)</f>
        <v>66351167</v>
      </c>
      <c r="G53" s="43">
        <f>SUMIF('1.Pozitia Financiara'!$A:$A,$A53,'1.Pozitia Financiara'!E:E)</f>
        <v>48600866.255813986</v>
      </c>
      <c r="H53" s="43">
        <f>SUMIF('1.Pozitia Financiara'!$A:$A,$A53,'1.Pozitia Financiara'!F:F)</f>
        <v>38865669.950000003</v>
      </c>
      <c r="I53" s="43">
        <f t="shared" si="23"/>
        <v>38865669.950000003</v>
      </c>
    </row>
    <row r="54" spans="1:9" x14ac:dyDescent="0.3">
      <c r="A54" s="38" t="s">
        <v>23</v>
      </c>
      <c r="B54" s="49" t="s">
        <v>145</v>
      </c>
      <c r="D54" s="43">
        <f>SUMIF('1.Pozitia Financiara'!$A:$A,$A54,'1.Pozitia Financiara'!B:B)</f>
        <v>102494892</v>
      </c>
      <c r="E54" s="43">
        <f>SUMIF('1.Pozitia Financiara'!$A:$A,$A54,'1.Pozitia Financiara'!C:C)</f>
        <v>107994087</v>
      </c>
      <c r="F54" s="43">
        <f>SUMIF('1.Pozitia Financiara'!$A:$A,$A54,'1.Pozitia Financiara'!D:D)</f>
        <v>104084590</v>
      </c>
      <c r="G54" s="43">
        <f>SUMIF('1.Pozitia Financiara'!$A:$A,$A54,'1.Pozitia Financiara'!E:E)</f>
        <v>99934653.449990779</v>
      </c>
      <c r="H54" s="43">
        <f>SUMIF('1.Pozitia Financiara'!$A:$A,$A54,'1.Pozitia Financiara'!F:F)</f>
        <v>105950202.95184986</v>
      </c>
      <c r="I54" s="43">
        <f t="shared" si="23"/>
        <v>105950202.95184986</v>
      </c>
    </row>
    <row r="55" spans="1:9" x14ac:dyDescent="0.3">
      <c r="A55" s="38" t="s">
        <v>18</v>
      </c>
      <c r="B55" s="49" t="s">
        <v>134</v>
      </c>
      <c r="D55" s="43">
        <f>SUMIF('1.Pozitia Financiara'!$A:$A,$A55,'1.Pozitia Financiara'!B:B)</f>
        <v>148590220</v>
      </c>
      <c r="E55" s="43">
        <f>SUMIF('1.Pozitia Financiara'!$A:$A,$A55,'1.Pozitia Financiara'!C:C)</f>
        <v>148683652</v>
      </c>
      <c r="F55" s="43">
        <f>SUMIF('1.Pozitia Financiara'!$A:$A,$A55,'1.Pozitia Financiara'!D:D)</f>
        <v>140810799</v>
      </c>
      <c r="G55" s="43">
        <f>SUMIF('1.Pozitia Financiara'!$A:$A,$A55,'1.Pozitia Financiara'!E:E)</f>
        <v>137581391.84156576</v>
      </c>
      <c r="H55" s="43">
        <f>SUMIF('1.Pozitia Financiara'!$A:$A,$A55,'1.Pozitia Financiara'!F:F)</f>
        <v>141611863.56372088</v>
      </c>
      <c r="I55" s="43">
        <f t="shared" si="23"/>
        <v>141611863.56372088</v>
      </c>
    </row>
    <row r="56" spans="1:9" x14ac:dyDescent="0.3">
      <c r="I56" s="51">
        <f>I55+I54+I53</f>
        <v>286427736.46557075</v>
      </c>
    </row>
    <row r="59" spans="1:9" x14ac:dyDescent="0.3">
      <c r="A59" s="89" t="str">
        <f>B54&amp;": "&amp;TEXT(I54,"#,###")&amp;" lei | "&amp;TEXT(I54/I56,"#%")</f>
        <v>Datorii curente: 105,950,203 lei | 37%</v>
      </c>
      <c r="B59" s="90"/>
      <c r="C59" s="89"/>
      <c r="D59" s="90"/>
    </row>
    <row r="60" spans="1:9" x14ac:dyDescent="0.3">
      <c r="A60" s="89" t="str">
        <f>B53&amp;": "&amp;TEXT(I54,"#,###")&amp;" lei | "&amp;TEXT(I53/I56,"#%")</f>
        <v>Datorii pe termen lung: 105,950,203 lei | 14%</v>
      </c>
      <c r="B60" s="90"/>
      <c r="C60" s="89"/>
      <c r="D60" s="90"/>
    </row>
    <row r="61" spans="1:9" x14ac:dyDescent="0.3">
      <c r="A61" s="89" t="str">
        <f>B55&amp;": "&amp;TEXT(I54,"#,###")&amp;" lei | "&amp;TEXT(I55/I56,"#%")</f>
        <v>Capitaluri: 105,950,203 lei | 49%</v>
      </c>
      <c r="B61" s="90"/>
      <c r="C61" s="89"/>
      <c r="D61" s="90"/>
    </row>
    <row r="62" spans="1:9" x14ac:dyDescent="0.3">
      <c r="A62" s="89" t="str">
        <f>B51&amp;": "&amp;TEXT(I54,"#,###")&amp;" lei | "&amp;TEXT(I51/I56,"#%")</f>
        <v>Active pe termen lung: 105,950,203 lei | 62%</v>
      </c>
      <c r="B62" s="90"/>
      <c r="C62" s="89"/>
      <c r="D62" s="90"/>
    </row>
    <row r="63" spans="1:9" x14ac:dyDescent="0.3">
      <c r="A63" s="89" t="str">
        <f>B52&amp;": "&amp;TEXT(I54,"#,###")&amp;" lei | "&amp;TEXT(I52/I56,"#%")</f>
        <v>Active curente: 105,950,203 lei | 38%</v>
      </c>
      <c r="B63" s="90"/>
      <c r="C63" s="89"/>
      <c r="D63" s="9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55BAF-0043-45B3-82D6-5BCD42358896}">
  <dimension ref="A1:V113"/>
  <sheetViews>
    <sheetView showGridLines="0" zoomScaleNormal="100" workbookViewId="0">
      <pane xSplit="1" ySplit="5" topLeftCell="B9" activePane="bottomRight" state="frozen"/>
      <selection pane="topRight" activeCell="B1" sqref="B1"/>
      <selection pane="bottomLeft" activeCell="A6" sqref="A6"/>
      <selection pane="bottomRight" sqref="A1:D1"/>
    </sheetView>
  </sheetViews>
  <sheetFormatPr defaultColWidth="9.109375" defaultRowHeight="14.4" x14ac:dyDescent="0.3"/>
  <cols>
    <col min="1" max="1" width="53.44140625" style="49" customWidth="1"/>
    <col min="2" max="2" width="13.33203125" style="49" bestFit="1" customWidth="1"/>
    <col min="3" max="3" width="13.44140625" style="49" bestFit="1" customWidth="1"/>
    <col min="4" max="4" width="11.44140625" style="49" bestFit="1" customWidth="1"/>
    <col min="5" max="5" width="3" style="49" bestFit="1" customWidth="1"/>
    <col min="6" max="6" width="8.6640625" style="87" customWidth="1"/>
    <col min="7" max="7" width="1.6640625" style="49" customWidth="1"/>
    <col min="8" max="8" width="3.6640625" style="49" customWidth="1"/>
    <col min="9" max="9" width="13.33203125" style="49" bestFit="1" customWidth="1"/>
    <col min="10" max="10" width="14.33203125" style="49" customWidth="1"/>
    <col min="11" max="11" width="11.33203125" style="49" bestFit="1" customWidth="1"/>
    <col min="12" max="12" width="3" style="49" bestFit="1" customWidth="1"/>
    <col min="13" max="13" width="8.33203125" style="87" bestFit="1" customWidth="1"/>
    <col min="14" max="14" width="1.6640625" style="49" customWidth="1"/>
    <col min="15" max="15" width="3.6640625" style="49" customWidth="1"/>
    <col min="16" max="17" width="13.109375" style="49" bestFit="1" customWidth="1"/>
    <col min="18" max="18" width="11" style="49" bestFit="1" customWidth="1"/>
    <col min="19" max="19" width="3" style="49" bestFit="1" customWidth="1"/>
    <col min="20" max="20" width="8.33203125" style="87" bestFit="1" customWidth="1"/>
    <col min="21" max="21" width="1.6640625" style="49" customWidth="1"/>
    <col min="22" max="22" width="3.6640625" style="49" customWidth="1"/>
    <col min="23" max="16384" width="9.109375" style="49"/>
  </cols>
  <sheetData>
    <row r="1" spans="1:22" x14ac:dyDescent="0.3">
      <c r="A1" s="218" t="s">
        <v>136</v>
      </c>
      <c r="B1" s="218"/>
      <c r="C1" s="218"/>
      <c r="D1" s="218"/>
      <c r="G1" s="50"/>
      <c r="H1" s="147"/>
      <c r="N1" s="50"/>
      <c r="O1" s="147"/>
      <c r="U1" s="50"/>
      <c r="V1" s="147"/>
    </row>
    <row r="2" spans="1:22" ht="10.5" customHeight="1" x14ac:dyDescent="0.3">
      <c r="A2" s="145"/>
      <c r="B2" s="145"/>
      <c r="C2" s="145"/>
      <c r="D2" s="145"/>
      <c r="G2" s="50"/>
      <c r="H2" s="147"/>
      <c r="N2" s="50"/>
      <c r="O2" s="147"/>
      <c r="U2" s="50"/>
      <c r="V2" s="147"/>
    </row>
    <row r="3" spans="1:22" ht="11.25" customHeight="1" thickBot="1" x14ac:dyDescent="0.35">
      <c r="A3" s="68"/>
      <c r="B3" s="68"/>
      <c r="C3" s="68"/>
      <c r="D3" s="68"/>
      <c r="G3" s="50"/>
      <c r="H3" s="147"/>
      <c r="N3" s="50"/>
      <c r="O3" s="147"/>
      <c r="U3" s="50"/>
      <c r="V3" s="147"/>
    </row>
    <row r="4" spans="1:22" x14ac:dyDescent="0.3">
      <c r="A4" s="219" t="s">
        <v>0</v>
      </c>
      <c r="B4" s="149" t="s">
        <v>137</v>
      </c>
      <c r="C4" s="149" t="s">
        <v>120</v>
      </c>
      <c r="D4" s="216" t="s">
        <v>138</v>
      </c>
      <c r="E4" s="216"/>
      <c r="F4" s="216"/>
      <c r="G4" s="50"/>
      <c r="H4" s="147"/>
      <c r="I4" s="149" t="s">
        <v>137</v>
      </c>
      <c r="J4" s="149" t="s">
        <v>120</v>
      </c>
      <c r="K4" s="216" t="s">
        <v>138</v>
      </c>
      <c r="L4" s="216"/>
      <c r="M4" s="216"/>
      <c r="N4" s="50"/>
      <c r="O4" s="147"/>
      <c r="P4" s="149" t="s">
        <v>137</v>
      </c>
      <c r="Q4" s="149" t="s">
        <v>120</v>
      </c>
      <c r="R4" s="216" t="s">
        <v>138</v>
      </c>
      <c r="S4" s="216"/>
      <c r="T4" s="216"/>
      <c r="U4" s="50"/>
      <c r="V4" s="147"/>
    </row>
    <row r="5" spans="1:22" ht="15" thickBot="1" x14ac:dyDescent="0.35">
      <c r="A5" s="220"/>
      <c r="B5" s="150">
        <v>2019</v>
      </c>
      <c r="C5" s="150">
        <v>2019</v>
      </c>
      <c r="D5" s="217"/>
      <c r="E5" s="217"/>
      <c r="F5" s="217"/>
      <c r="G5" s="50"/>
      <c r="H5" s="147"/>
      <c r="I5" s="150">
        <v>2020</v>
      </c>
      <c r="J5" s="150">
        <v>2020</v>
      </c>
      <c r="K5" s="217"/>
      <c r="L5" s="217"/>
      <c r="M5" s="217"/>
      <c r="N5" s="50"/>
      <c r="O5" s="147"/>
      <c r="P5" s="150">
        <v>2021</v>
      </c>
      <c r="Q5" s="150">
        <v>2021</v>
      </c>
      <c r="R5" s="217"/>
      <c r="S5" s="217"/>
      <c r="T5" s="217"/>
      <c r="U5" s="50"/>
      <c r="V5" s="147"/>
    </row>
    <row r="6" spans="1:22" x14ac:dyDescent="0.3">
      <c r="A6" s="79" t="s">
        <v>1</v>
      </c>
      <c r="B6" s="79">
        <f>SUMIFS(Data_Annual_BS!$D:$D,Data_Annual_BS!$A:$A,B$5-1,Data_Annual_BS!$B:$B,$A6)</f>
        <v>172357212</v>
      </c>
      <c r="C6" s="164">
        <f>SUMIF(Data_Interim!$B:$B,$A6,Data_Interim!N:N)</f>
        <v>164440278</v>
      </c>
      <c r="D6" s="165">
        <f>C6-B6</f>
        <v>-7916934</v>
      </c>
      <c r="E6" s="166" t="str">
        <f>IF(C6&gt;B6,"▲",IF(C6=B6,"▬","▼"))</f>
        <v>▼</v>
      </c>
      <c r="F6" s="166">
        <f>IF(ISERROR(C6/B6-100%),0,C6/B6-100%)</f>
        <v>-4.5933291146528887E-2</v>
      </c>
      <c r="G6" s="167"/>
      <c r="H6" s="168"/>
      <c r="I6" s="79">
        <f>SUMIFS(Data_Annual_BS!$D:$D,Data_Annual_BS!$A:$A,I$5-1,Data_Annual_BS!$B:$B,$A6)</f>
        <v>157093809.54692432</v>
      </c>
      <c r="J6" s="164">
        <f>SUMIF(Data_Interim!$B:$B,$A6,Data_Interim!O:O)</f>
        <v>150504234.88263863</v>
      </c>
      <c r="K6" s="165">
        <f>J6-I6</f>
        <v>-6589574.6642856896</v>
      </c>
      <c r="L6" s="166" t="str">
        <f>IF(J6&gt;I6,"▲",IF(J6=I6,"▬","▼"))</f>
        <v>▼</v>
      </c>
      <c r="M6" s="166">
        <f>IF(ISERROR(J6/I6-100%),0,J6/I6-100%)</f>
        <v>-4.1946749418648288E-2</v>
      </c>
      <c r="N6" s="167"/>
      <c r="O6" s="168"/>
      <c r="P6" s="79">
        <f>SUMIFS(Data_Annual_BS!$D:$D,Data_Annual_BS!$A:$A,P$5-1,Data_Annual_BS!$B:$B,$A6)</f>
        <v>144756737.42610183</v>
      </c>
      <c r="Q6" s="164">
        <f>SUMIF(Data_Interim!$B:$B,$A6,Data_Interim!P:P)</f>
        <v>138584406.14761695</v>
      </c>
      <c r="R6" s="165">
        <f>Q6-P6</f>
        <v>-6172331.2784848809</v>
      </c>
      <c r="S6" s="166" t="str">
        <f>IF(Q6&gt;P6,"▲",IF(Q6=P6,"▬","▼"))</f>
        <v>▼</v>
      </c>
      <c r="T6" s="166">
        <f>IF(ISERROR(Q6/P6-100%),0,Q6/P6-100%)</f>
        <v>-4.2639336781376769E-2</v>
      </c>
      <c r="U6" s="50"/>
      <c r="V6" s="147"/>
    </row>
    <row r="7" spans="1:22" x14ac:dyDescent="0.3">
      <c r="A7" s="79" t="s">
        <v>3</v>
      </c>
      <c r="B7" s="79">
        <f>SUMIFS(Data_Annual_BS!$D:$D,Data_Annual_BS!$A:$A,B$5-1,Data_Annual_BS!$B:$B,$A7)</f>
        <v>18033515</v>
      </c>
      <c r="C7" s="164">
        <f>SUMIF(Data_Interim!$B:$B,$A7,Data_Interim!N:N)</f>
        <v>18033515</v>
      </c>
      <c r="D7" s="165">
        <f t="shared" ref="D7:D12" si="0">C7-B7</f>
        <v>0</v>
      </c>
      <c r="E7" s="166" t="str">
        <f t="shared" ref="E7:E12" si="1">IF(C7&gt;B7,"▲",IF(C7=B7,"▬","▼"))</f>
        <v>▬</v>
      </c>
      <c r="F7" s="166">
        <f t="shared" ref="F7:F12" si="2">IF(ISERROR(C7/B7-100%),0,C7/B7-100%)</f>
        <v>0</v>
      </c>
      <c r="G7" s="167"/>
      <c r="H7" s="168"/>
      <c r="I7" s="79">
        <f>SUMIFS(Data_Annual_BS!$D:$D,Data_Annual_BS!$A:$A,I$5-1,Data_Annual_BS!$B:$B,$A7)</f>
        <v>13432444</v>
      </c>
      <c r="J7" s="164">
        <f>SUMIF(Data_Interim!$B:$B,$A7,Data_Interim!O:O)</f>
        <v>13425346</v>
      </c>
      <c r="K7" s="165">
        <f t="shared" ref="K7:K12" si="3">J7-I7</f>
        <v>-7098</v>
      </c>
      <c r="L7" s="166" t="str">
        <f t="shared" ref="L7:L12" si="4">IF(J7&gt;I7,"▲",IF(J7=I7,"▬","▼"))</f>
        <v>▼</v>
      </c>
      <c r="M7" s="166">
        <f t="shared" ref="M7:M12" si="5">IF(ISERROR(J7/I7-100%),0,J7/I7-100%)</f>
        <v>-5.2842208015158043E-4</v>
      </c>
      <c r="N7" s="167"/>
      <c r="O7" s="168"/>
      <c r="P7" s="79">
        <f>SUMIFS(Data_Annual_BS!$D:$D,Data_Annual_BS!$A:$A,P$5-1,Data_Annual_BS!$B:$B,$A7)</f>
        <v>11885345.9</v>
      </c>
      <c r="Q7" s="164">
        <f>SUMIF(Data_Interim!$B:$B,$A7,Data_Interim!P:P)</f>
        <v>11885346</v>
      </c>
      <c r="R7" s="165">
        <f t="shared" ref="R7:R12" si="6">Q7-P7</f>
        <v>9.999999962747097E-2</v>
      </c>
      <c r="S7" s="166" t="str">
        <f t="shared" ref="S7:S12" si="7">IF(Q7&gt;P7,"▲",IF(Q7=P7,"▬","▼"))</f>
        <v>▲</v>
      </c>
      <c r="T7" s="166">
        <f t="shared" ref="T7:T12" si="8">IF(ISERROR(Q7/P7-100%),0,Q7/P7-100%)</f>
        <v>8.4137223854696686E-9</v>
      </c>
      <c r="U7" s="50"/>
      <c r="V7" s="147"/>
    </row>
    <row r="8" spans="1:22" x14ac:dyDescent="0.3">
      <c r="A8" s="79" t="s">
        <v>193</v>
      </c>
      <c r="B8" s="79">
        <f>SUMIFS(Data_Annual_BS!$D:$D,Data_Annual_BS!$A:$A,B$5-1,Data_Annual_BS!$B:$B,$A8)</f>
        <v>143461</v>
      </c>
      <c r="C8" s="164">
        <f>SUMIF(Data_Interim!$B:$B,$A8,Data_Interim!N:N)</f>
        <v>143461</v>
      </c>
      <c r="D8" s="165">
        <f t="shared" si="0"/>
        <v>0</v>
      </c>
      <c r="E8" s="166" t="str">
        <f t="shared" si="1"/>
        <v>▬</v>
      </c>
      <c r="F8" s="166">
        <f t="shared" si="2"/>
        <v>0</v>
      </c>
      <c r="G8" s="167"/>
      <c r="H8" s="168"/>
      <c r="I8" s="79">
        <f>SUMIFS(Data_Annual_BS!$D:$D,Data_Annual_BS!$A:$A,I$5-1,Data_Annual_BS!$B:$B,$A8)</f>
        <v>143460.56021036324</v>
      </c>
      <c r="J8" s="164">
        <f>SUMIF(Data_Interim!$B:$B,$A8,Data_Interim!O:O)</f>
        <v>143460.56021036324</v>
      </c>
      <c r="K8" s="165">
        <f t="shared" si="3"/>
        <v>0</v>
      </c>
      <c r="L8" s="166" t="str">
        <f t="shared" si="4"/>
        <v>▬</v>
      </c>
      <c r="M8" s="166">
        <f t="shared" si="5"/>
        <v>0</v>
      </c>
      <c r="N8" s="167"/>
      <c r="O8" s="168"/>
      <c r="P8" s="79">
        <f>SUMIFS(Data_Annual_BS!$D:$D,Data_Annual_BS!$A:$A,P$5-1,Data_Annual_BS!$B:$B,$A8)</f>
        <v>143460.56021036324</v>
      </c>
      <c r="Q8" s="164">
        <f>SUMIF(Data_Interim!$B:$B,$A8,Data_Interim!P:P)</f>
        <v>143460.56021036324</v>
      </c>
      <c r="R8" s="165">
        <f t="shared" si="6"/>
        <v>0</v>
      </c>
      <c r="S8" s="166" t="str">
        <f t="shared" si="7"/>
        <v>▬</v>
      </c>
      <c r="T8" s="166">
        <f t="shared" si="8"/>
        <v>0</v>
      </c>
      <c r="U8" s="50"/>
      <c r="V8" s="147"/>
    </row>
    <row r="9" spans="1:22" x14ac:dyDescent="0.3">
      <c r="A9" s="79" t="s">
        <v>235</v>
      </c>
      <c r="B9" s="79">
        <f>SUMIFS(Data_Annual_BS!$D:$D,Data_Annual_BS!$A:$A,B$5-1,Data_Annual_BS!$B:$B,$A9)</f>
        <v>90427</v>
      </c>
      <c r="C9" s="164">
        <f>SUMIF(Data_Interim!$B:$B,$A9,Data_Interim!N:N)</f>
        <v>354733</v>
      </c>
      <c r="D9" s="165">
        <f t="shared" si="0"/>
        <v>264306</v>
      </c>
      <c r="E9" s="166" t="str">
        <f t="shared" si="1"/>
        <v>▲</v>
      </c>
      <c r="F9" s="166">
        <f t="shared" si="2"/>
        <v>2.9228659581762084</v>
      </c>
      <c r="G9" s="167"/>
      <c r="H9" s="168"/>
      <c r="I9" s="79">
        <f>SUMIFS(Data_Annual_BS!$D:$D,Data_Annual_BS!$A:$A,I$5-1,Data_Annual_BS!$B:$B,$A9)</f>
        <v>307580.76636363612</v>
      </c>
      <c r="J9" s="164">
        <f>SUMIF(Data_Interim!$B:$B,$A9,Data_Interim!O:O)</f>
        <v>465276.41545454529</v>
      </c>
      <c r="K9" s="165">
        <f t="shared" si="3"/>
        <v>157695.64909090917</v>
      </c>
      <c r="L9" s="166" t="str">
        <f t="shared" si="4"/>
        <v>▲</v>
      </c>
      <c r="M9" s="166">
        <f t="shared" si="5"/>
        <v>0.51269671688272633</v>
      </c>
      <c r="N9" s="167"/>
      <c r="O9" s="168"/>
      <c r="P9" s="79">
        <f>SUMIFS(Data_Annual_BS!$D:$D,Data_Annual_BS!$A:$A,P$5-1,Data_Annual_BS!$B:$B,$A9)</f>
        <v>323175.72909090878</v>
      </c>
      <c r="Q9" s="164">
        <f>SUMIF(Data_Interim!$B:$B,$A9,Data_Interim!P:P)</f>
        <v>300679.45636363584</v>
      </c>
      <c r="R9" s="165">
        <f t="shared" si="6"/>
        <v>-22496.272727272939</v>
      </c>
      <c r="S9" s="166" t="str">
        <f t="shared" si="7"/>
        <v>▼</v>
      </c>
      <c r="T9" s="166">
        <f t="shared" si="8"/>
        <v>-6.9610031639921743E-2</v>
      </c>
      <c r="U9" s="50"/>
      <c r="V9" s="147"/>
    </row>
    <row r="10" spans="1:22" x14ac:dyDescent="0.3">
      <c r="A10" s="79" t="s">
        <v>236</v>
      </c>
      <c r="B10" s="79">
        <f>SUMIFS(Data_Annual_BS!$D:$D,Data_Annual_BS!$A:$A,B$5-1,Data_Annual_BS!$B:$B,$A10)</f>
        <v>27102521</v>
      </c>
      <c r="C10" s="164">
        <f>SUMIF(Data_Interim!$B:$B,$A10,Data_Interim!N:N)</f>
        <v>27610382</v>
      </c>
      <c r="D10" s="165">
        <f t="shared" si="0"/>
        <v>507861</v>
      </c>
      <c r="E10" s="166" t="str">
        <f t="shared" si="1"/>
        <v>▲</v>
      </c>
      <c r="F10" s="166">
        <f t="shared" si="2"/>
        <v>1.8738515136654588E-2</v>
      </c>
      <c r="G10" s="167"/>
      <c r="H10" s="168"/>
      <c r="I10" s="79">
        <f>SUMIFS(Data_Annual_BS!$D:$D,Data_Annual_BS!$A:$A,I$5-1,Data_Annual_BS!$B:$B,$A10)</f>
        <v>27033841.327179756</v>
      </c>
      <c r="J10" s="164">
        <f>SUMIF(Data_Interim!$B:$B,$A10,Data_Interim!O:O)</f>
        <v>24450182.005381335</v>
      </c>
      <c r="K10" s="165">
        <f t="shared" si="3"/>
        <v>-2583659.3217984214</v>
      </c>
      <c r="L10" s="166" t="str">
        <f t="shared" si="4"/>
        <v>▼</v>
      </c>
      <c r="M10" s="166">
        <f t="shared" si="5"/>
        <v>-9.557129860049951E-2</v>
      </c>
      <c r="N10" s="167"/>
      <c r="O10" s="168"/>
      <c r="P10" s="79">
        <f>SUMIFS(Data_Annual_BS!$D:$D,Data_Annual_BS!$A:$A,P$5-1,Data_Annual_BS!$B:$B,$A10)</f>
        <v>24469502.752227362</v>
      </c>
      <c r="Q10" s="164">
        <f>SUMIF(Data_Interim!$B:$B,$A10,Data_Interim!P:P)</f>
        <v>26835941.658193842</v>
      </c>
      <c r="R10" s="165">
        <f t="shared" si="6"/>
        <v>2366438.9059664793</v>
      </c>
      <c r="S10" s="166" t="str">
        <f t="shared" si="7"/>
        <v>▲</v>
      </c>
      <c r="T10" s="166">
        <f t="shared" si="8"/>
        <v>9.6709725977209393E-2</v>
      </c>
      <c r="U10" s="50"/>
      <c r="V10" s="147"/>
    </row>
    <row r="11" spans="1:22" ht="28.8" x14ac:dyDescent="0.3">
      <c r="A11" s="79" t="s">
        <v>237</v>
      </c>
      <c r="B11" s="79">
        <f>SUMIFS(Data_Annual_BS!$D:$D,Data_Annual_BS!$A:$A,B$5-1,Data_Annual_BS!$B:$B,$A11)</f>
        <v>197374</v>
      </c>
      <c r="C11" s="164">
        <f>SUMIF(Data_Interim!$B:$B,$A11,Data_Interim!N:N)</f>
        <v>197373</v>
      </c>
      <c r="D11" s="165">
        <f t="shared" si="0"/>
        <v>-1</v>
      </c>
      <c r="E11" s="166" t="str">
        <f t="shared" si="1"/>
        <v>▼</v>
      </c>
      <c r="F11" s="166">
        <f t="shared" si="2"/>
        <v>-5.0665234528901593E-6</v>
      </c>
      <c r="G11" s="167"/>
      <c r="H11" s="168"/>
      <c r="I11" s="79">
        <f>SUMIFS(Data_Annual_BS!$D:$D,Data_Annual_BS!$A:$A,I$5-1,Data_Annual_BS!$B:$B,$A11)</f>
        <v>197373.45</v>
      </c>
      <c r="J11" s="164">
        <f>SUMIF(Data_Interim!$B:$B,$A11,Data_Interim!O:O)</f>
        <v>196973.90000000037</v>
      </c>
      <c r="K11" s="165">
        <f t="shared" si="3"/>
        <v>-399.54999999963911</v>
      </c>
      <c r="L11" s="166" t="str">
        <f t="shared" si="4"/>
        <v>▼</v>
      </c>
      <c r="M11" s="166">
        <f t="shared" si="5"/>
        <v>-2.024335086606821E-3</v>
      </c>
      <c r="N11" s="167"/>
      <c r="O11" s="168"/>
      <c r="P11" s="79">
        <f>SUMIFS(Data_Annual_BS!$D:$D,Data_Annual_BS!$A:$A,P$5-1,Data_Annual_BS!$B:$B,$A11)</f>
        <v>196963.95</v>
      </c>
      <c r="Q11" s="164">
        <f>SUMIF(Data_Interim!$B:$B,$A11,Data_Interim!P:P)</f>
        <v>196964.40000000037</v>
      </c>
      <c r="R11" s="165">
        <f t="shared" si="6"/>
        <v>0.4500000003608875</v>
      </c>
      <c r="S11" s="166" t="str">
        <f t="shared" si="7"/>
        <v>▲</v>
      </c>
      <c r="T11" s="166">
        <f t="shared" si="8"/>
        <v>2.284682046438391E-6</v>
      </c>
      <c r="U11" s="50"/>
      <c r="V11" s="147"/>
    </row>
    <row r="12" spans="1:22" ht="15" thickBot="1" x14ac:dyDescent="0.35">
      <c r="A12" s="79" t="s">
        <v>238</v>
      </c>
      <c r="B12" s="79">
        <f>SUMIFS(Data_Annual_BS!$D:$D,Data_Annual_BS!$A:$A,B$5-1,Data_Annual_BS!$B:$B,$A12)</f>
        <v>217472</v>
      </c>
      <c r="C12" s="164">
        <f>SUMIF(Data_Interim!$B:$B,$A12,Data_Interim!N:N)</f>
        <v>258518</v>
      </c>
      <c r="D12" s="165">
        <f t="shared" si="0"/>
        <v>41046</v>
      </c>
      <c r="E12" s="166" t="str">
        <f t="shared" si="1"/>
        <v>▲</v>
      </c>
      <c r="F12" s="166">
        <f t="shared" si="2"/>
        <v>0.18874153914067104</v>
      </c>
      <c r="G12" s="167"/>
      <c r="H12" s="168"/>
      <c r="I12" s="79">
        <f>SUMIFS(Data_Annual_BS!$D:$D,Data_Annual_BS!$A:$A,I$5-1,Data_Annual_BS!$B:$B,$A12)</f>
        <v>195396.25</v>
      </c>
      <c r="J12" s="164">
        <f>SUMIF(Data_Interim!$B:$B,$A12,Data_Interim!O:O)</f>
        <v>167339.75</v>
      </c>
      <c r="K12" s="165">
        <f t="shared" si="3"/>
        <v>-28056.5</v>
      </c>
      <c r="L12" s="166" t="str">
        <f t="shared" si="4"/>
        <v>▼</v>
      </c>
      <c r="M12" s="166">
        <f t="shared" si="5"/>
        <v>-0.14358770959012779</v>
      </c>
      <c r="N12" s="167"/>
      <c r="O12" s="168"/>
      <c r="P12" s="79">
        <f>SUMIFS(Data_Annual_BS!$D:$D,Data_Annual_BS!$A:$A,P$5-1,Data_Annual_BS!$B:$B,$A12)</f>
        <v>100000</v>
      </c>
      <c r="Q12" s="164">
        <f>SUMIF(Data_Interim!$B:$B,$A12,Data_Interim!P:P)</f>
        <v>100000</v>
      </c>
      <c r="R12" s="165">
        <f t="shared" si="6"/>
        <v>0</v>
      </c>
      <c r="S12" s="166" t="str">
        <f t="shared" si="7"/>
        <v>▬</v>
      </c>
      <c r="T12" s="166">
        <f t="shared" si="8"/>
        <v>0</v>
      </c>
      <c r="U12" s="50"/>
      <c r="V12" s="147"/>
    </row>
    <row r="13" spans="1:22" ht="15" thickBot="1" x14ac:dyDescent="0.35">
      <c r="A13" s="169" t="s">
        <v>5</v>
      </c>
      <c r="B13" s="170">
        <f t="shared" ref="B13" si="9">SUM(B6:B12)</f>
        <v>218141982</v>
      </c>
      <c r="C13" s="171">
        <f>SUM(C6:C12)</f>
        <v>211038260</v>
      </c>
      <c r="D13" s="170">
        <f t="shared" ref="D13:D39" si="10">C13-B13</f>
        <v>-7103722</v>
      </c>
      <c r="E13" s="172" t="str">
        <f t="shared" ref="E13:E39" si="11">IF(C13&gt;B13,"▲",IF(C13=B13,"▬","▼"))</f>
        <v>▼</v>
      </c>
      <c r="F13" s="173">
        <f t="shared" ref="F13:F39" si="12">IF(ISERROR(C13/B13-100%),0,C13/B13-100%)</f>
        <v>-3.2564671572480663E-2</v>
      </c>
      <c r="G13" s="167"/>
      <c r="H13" s="168"/>
      <c r="I13" s="170">
        <f t="shared" ref="I13" si="13">SUM(I6:I12)</f>
        <v>198403905.9006781</v>
      </c>
      <c r="J13" s="171">
        <f>SUM(J6:J12)</f>
        <v>189352813.5136849</v>
      </c>
      <c r="K13" s="170">
        <f t="shared" ref="K13:K39" si="14">J13-I13</f>
        <v>-9051092.3869931996</v>
      </c>
      <c r="L13" s="172" t="str">
        <f t="shared" ref="L13:L39" si="15">IF(J13&gt;I13,"▲",IF(J13=I13,"▬","▼"))</f>
        <v>▼</v>
      </c>
      <c r="M13" s="173">
        <f t="shared" ref="M13:M39" si="16">IF(ISERROR(J13/I13-100%),0,J13/I13-100%)</f>
        <v>-4.5619527226062884E-2</v>
      </c>
      <c r="N13" s="167"/>
      <c r="O13" s="168"/>
      <c r="P13" s="170">
        <f t="shared" ref="P13" si="17">SUM(P6:P12)</f>
        <v>181875186.31763047</v>
      </c>
      <c r="Q13" s="171">
        <f>SUM(Q6:Q12)</f>
        <v>178046798.22238484</v>
      </c>
      <c r="R13" s="170">
        <f t="shared" ref="R13:R39" si="18">Q13-P13</f>
        <v>-3828388.0952456295</v>
      </c>
      <c r="S13" s="172" t="str">
        <f t="shared" ref="S13:S39" si="19">IF(Q13&gt;P13,"▲",IF(Q13=P13,"▬","▼"))</f>
        <v>▼</v>
      </c>
      <c r="T13" s="173">
        <f t="shared" ref="T13:T39" si="20">IF(ISERROR(Q13/P13-100%),0,Q13/P13-100%)</f>
        <v>-2.1049534973724526E-2</v>
      </c>
      <c r="U13" s="50"/>
      <c r="V13" s="147"/>
    </row>
    <row r="14" spans="1:22" x14ac:dyDescent="0.3">
      <c r="A14" s="79" t="s">
        <v>239</v>
      </c>
      <c r="B14" s="79">
        <f>SUMIFS(Data_Annual_BS!$D:$D,Data_Annual_BS!$A:$A,B$5-1,Data_Annual_BS!$B:$B,$A14)</f>
        <v>36243315</v>
      </c>
      <c r="C14" s="164">
        <f>SUMIF(Data_Interim!$B:$B,$A14,Data_Interim!N:N)</f>
        <v>40138912</v>
      </c>
      <c r="D14" s="165">
        <f t="shared" si="10"/>
        <v>3895597</v>
      </c>
      <c r="E14" s="166" t="str">
        <f t="shared" si="11"/>
        <v>▲</v>
      </c>
      <c r="F14" s="166">
        <f t="shared" si="12"/>
        <v>0.10748456646418791</v>
      </c>
      <c r="G14" s="167"/>
      <c r="H14" s="168"/>
      <c r="I14" s="79">
        <f>SUMIFS(Data_Annual_BS!$D:$D,Data_Annual_BS!$A:$A,I$5-1,Data_Annual_BS!$B:$B,$A14)</f>
        <v>45992535.542492926</v>
      </c>
      <c r="J14" s="164">
        <f>SUMIF(Data_Interim!$B:$B,$A14,Data_Interim!O:O)</f>
        <v>40101052.917837135</v>
      </c>
      <c r="K14" s="165">
        <f t="shared" si="14"/>
        <v>-5891482.6246557906</v>
      </c>
      <c r="L14" s="166" t="str">
        <f t="shared" si="15"/>
        <v>▼</v>
      </c>
      <c r="M14" s="166">
        <f t="shared" si="16"/>
        <v>-0.12809649555442748</v>
      </c>
      <c r="N14" s="167"/>
      <c r="O14" s="168"/>
      <c r="P14" s="79">
        <f>SUMIFS(Data_Annual_BS!$D:$D,Data_Annual_BS!$A:$A,P$5-1,Data_Annual_BS!$B:$B,$A14)</f>
        <v>39267786.496564828</v>
      </c>
      <c r="Q14" s="164">
        <f>SUMIF(Data_Interim!$B:$B,$A14,Data_Interim!P:P)</f>
        <v>44513865.07965675</v>
      </c>
      <c r="R14" s="165">
        <f t="shared" si="18"/>
        <v>5246078.5830919221</v>
      </c>
      <c r="S14" s="166" t="str">
        <f t="shared" si="19"/>
        <v>▲</v>
      </c>
      <c r="T14" s="166">
        <f t="shared" si="20"/>
        <v>0.13359751213761073</v>
      </c>
      <c r="U14" s="50"/>
      <c r="V14" s="147"/>
    </row>
    <row r="15" spans="1:22" x14ac:dyDescent="0.3">
      <c r="A15" s="79" t="s">
        <v>7</v>
      </c>
      <c r="B15" s="79">
        <f>SUMIFS(Data_Annual_BS!$D:$D,Data_Annual_BS!$A:$A,B$5-1,Data_Annual_BS!$B:$B,$A15)</f>
        <v>30079464</v>
      </c>
      <c r="C15" s="164">
        <f>SUMIF(Data_Interim!$B:$B,$A15,Data_Interim!N:N)</f>
        <v>37168375</v>
      </c>
      <c r="D15" s="165">
        <f t="shared" si="10"/>
        <v>7088911</v>
      </c>
      <c r="E15" s="166" t="str">
        <f t="shared" si="11"/>
        <v>▲</v>
      </c>
      <c r="F15" s="166">
        <f t="shared" si="12"/>
        <v>0.23567278326502095</v>
      </c>
      <c r="G15" s="167"/>
      <c r="H15" s="168"/>
      <c r="I15" s="79">
        <f>SUMIFS(Data_Annual_BS!$D:$D,Data_Annual_BS!$A:$A,I$5-1,Data_Annual_BS!$B:$B,$A15)</f>
        <v>34018157.882699974</v>
      </c>
      <c r="J15" s="164">
        <f>SUMIF(Data_Interim!$B:$B,$A15,Data_Interim!O:O)</f>
        <v>40892115.768005952</v>
      </c>
      <c r="K15" s="165">
        <f t="shared" si="14"/>
        <v>6873957.8853059784</v>
      </c>
      <c r="L15" s="166" t="str">
        <f t="shared" si="15"/>
        <v>▲</v>
      </c>
      <c r="M15" s="166">
        <f t="shared" si="16"/>
        <v>0.20206731678442091</v>
      </c>
      <c r="N15" s="167"/>
      <c r="O15" s="168"/>
      <c r="P15" s="79">
        <f>SUMIFS(Data_Annual_BS!$D:$D,Data_Annual_BS!$A:$A,P$5-1,Data_Annual_BS!$B:$B,$A15)</f>
        <v>36158571.175505936</v>
      </c>
      <c r="Q15" s="164">
        <f>SUMIF(Data_Interim!$B:$B,$A15,Data_Interim!P:P)</f>
        <v>52669438.835505955</v>
      </c>
      <c r="R15" s="165">
        <f t="shared" si="18"/>
        <v>16510867.660000019</v>
      </c>
      <c r="S15" s="166" t="str">
        <f t="shared" si="19"/>
        <v>▲</v>
      </c>
      <c r="T15" s="166">
        <f t="shared" si="20"/>
        <v>0.45662389644380075</v>
      </c>
      <c r="U15" s="50"/>
      <c r="V15" s="147"/>
    </row>
    <row r="16" spans="1:22" x14ac:dyDescent="0.3">
      <c r="A16" s="79" t="s">
        <v>240</v>
      </c>
      <c r="B16" s="79">
        <f>SUMIFS(Data_Annual_BS!$D:$D,Data_Annual_BS!$A:$A,B$5-1,Data_Annual_BS!$B:$B,$A16)</f>
        <v>0</v>
      </c>
      <c r="C16" s="164">
        <f>SUMIF(Data_Interim!$B:$B,$A16,Data_Interim!N:N)</f>
        <v>0</v>
      </c>
      <c r="D16" s="165">
        <f t="shared" si="10"/>
        <v>0</v>
      </c>
      <c r="E16" s="166" t="str">
        <f t="shared" si="11"/>
        <v>▬</v>
      </c>
      <c r="F16" s="166">
        <f t="shared" si="12"/>
        <v>0</v>
      </c>
      <c r="G16" s="167"/>
      <c r="H16" s="168"/>
      <c r="I16" s="79">
        <f>SUMIFS(Data_Annual_BS!$D:$D,Data_Annual_BS!$A:$A,I$5-1,Data_Annual_BS!$B:$B,$A16)</f>
        <v>2389649.9115479453</v>
      </c>
      <c r="J16" s="164">
        <f>SUMIF(Data_Interim!$B:$B,$A16,Data_Interim!O:O)</f>
        <v>43.550000000046566</v>
      </c>
      <c r="K16" s="165">
        <f t="shared" si="14"/>
        <v>-2389606.3615479451</v>
      </c>
      <c r="L16" s="166" t="str">
        <f t="shared" si="15"/>
        <v>▼</v>
      </c>
      <c r="M16" s="166">
        <f t="shared" si="16"/>
        <v>-0.99998177557315426</v>
      </c>
      <c r="N16" s="167"/>
      <c r="O16" s="168"/>
      <c r="P16" s="79">
        <f>SUMIFS(Data_Annual_BS!$D:$D,Data_Annual_BS!$A:$A,P$5-1,Data_Annual_BS!$B:$B,$A16)</f>
        <v>181047.34791506856</v>
      </c>
      <c r="Q16" s="164">
        <f>SUMIF(Data_Interim!$B:$B,$A16,Data_Interim!P:P)</f>
        <v>181047.45</v>
      </c>
      <c r="R16" s="165">
        <f t="shared" si="18"/>
        <v>0.10208493145182729</v>
      </c>
      <c r="S16" s="166" t="str">
        <f t="shared" si="19"/>
        <v>▲</v>
      </c>
      <c r="T16" s="166">
        <f t="shared" si="20"/>
        <v>5.6385764612976175E-7</v>
      </c>
      <c r="U16" s="50"/>
      <c r="V16" s="147"/>
    </row>
    <row r="17" spans="1:22" x14ac:dyDescent="0.3">
      <c r="A17" s="174" t="s">
        <v>241</v>
      </c>
      <c r="B17" s="174">
        <f>SUMIFS(Data_Annual_BS!$D:$D,Data_Annual_BS!$A:$A,B$5-1,Data_Annual_BS!$B:$B,$A17)</f>
        <v>1134203</v>
      </c>
      <c r="C17" s="175">
        <f>SUMIF(Data_Interim!$B:$B,$A17,Data_Interim!N:N)</f>
        <v>1622153</v>
      </c>
      <c r="D17" s="165">
        <f t="shared" si="10"/>
        <v>487950</v>
      </c>
      <c r="E17" s="166" t="str">
        <f t="shared" si="11"/>
        <v>▲</v>
      </c>
      <c r="F17" s="166">
        <f t="shared" si="12"/>
        <v>0.43021399167521168</v>
      </c>
      <c r="G17" s="167"/>
      <c r="H17" s="168"/>
      <c r="I17" s="174">
        <f>SUMIFS(Data_Annual_BS!$D:$D,Data_Annual_BS!$A:$A,I$5-1,Data_Annual_BS!$B:$B,$A17)</f>
        <v>1496725.5565500001</v>
      </c>
      <c r="J17" s="175">
        <f>SUMIF(Data_Interim!$B:$B,$A17,Data_Interim!O:O)</f>
        <v>1250852.3915500001</v>
      </c>
      <c r="K17" s="165">
        <f t="shared" si="14"/>
        <v>-245873.16500000004</v>
      </c>
      <c r="L17" s="166" t="str">
        <f t="shared" si="15"/>
        <v>▼</v>
      </c>
      <c r="M17" s="166">
        <f t="shared" si="16"/>
        <v>-0.16427404738564466</v>
      </c>
      <c r="N17" s="167"/>
      <c r="O17" s="168"/>
      <c r="P17" s="174">
        <f>SUMIFS(Data_Annual_BS!$D:$D,Data_Annual_BS!$A:$A,P$5-1,Data_Annual_BS!$B:$B,$A17)</f>
        <v>1236390.7065499998</v>
      </c>
      <c r="Q17" s="175">
        <f>SUMIF(Data_Interim!$B:$B,$A17,Data_Interim!P:P)</f>
        <v>2404556.0465500001</v>
      </c>
      <c r="R17" s="165">
        <f t="shared" si="18"/>
        <v>1168165.3400000003</v>
      </c>
      <c r="S17" s="166" t="str">
        <f t="shared" si="19"/>
        <v>▲</v>
      </c>
      <c r="T17" s="166">
        <f t="shared" si="20"/>
        <v>0.94481892642142706</v>
      </c>
      <c r="U17" s="50"/>
      <c r="V17" s="147"/>
    </row>
    <row r="18" spans="1:22" x14ac:dyDescent="0.3">
      <c r="A18" s="79" t="s">
        <v>242</v>
      </c>
      <c r="B18" s="79">
        <f>SUMIFS(Data_Annual_BS!$D:$D,Data_Annual_BS!$A:$A,B$5-1,Data_Annual_BS!$B:$B,$A18)</f>
        <v>9899542</v>
      </c>
      <c r="C18" s="164">
        <f>SUMIF(Data_Interim!$B:$B,$A18,Data_Interim!N:N)</f>
        <v>5670981</v>
      </c>
      <c r="D18" s="165">
        <f t="shared" si="10"/>
        <v>-4228561</v>
      </c>
      <c r="E18" s="166" t="str">
        <f t="shared" si="11"/>
        <v>▼</v>
      </c>
      <c r="F18" s="166">
        <f t="shared" si="12"/>
        <v>-0.42714713468562482</v>
      </c>
      <c r="G18" s="167"/>
      <c r="H18" s="168"/>
      <c r="I18" s="79">
        <f>SUMIFS(Data_Annual_BS!$D:$D,Data_Annual_BS!$A:$A,I$5-1,Data_Annual_BS!$B:$B,$A18)</f>
        <v>9849170.4968970008</v>
      </c>
      <c r="J18" s="164">
        <f>SUMIF(Data_Interim!$B:$B,$A18,Data_Interim!O:O)</f>
        <v>11943351.82739</v>
      </c>
      <c r="K18" s="165">
        <f t="shared" si="14"/>
        <v>2094181.3304929994</v>
      </c>
      <c r="L18" s="166" t="str">
        <f t="shared" si="15"/>
        <v>▲</v>
      </c>
      <c r="M18" s="166">
        <f t="shared" si="16"/>
        <v>0.21262514758504536</v>
      </c>
      <c r="N18" s="167"/>
      <c r="O18" s="168"/>
      <c r="P18" s="79">
        <f>SUMIFS(Data_Annual_BS!$D:$D,Data_Annual_BS!$A:$A,P$5-1,Data_Annual_BS!$B:$B,$A18)</f>
        <v>20704631.823772997</v>
      </c>
      <c r="Q18" s="164">
        <f>SUMIF(Data_Interim!$B:$B,$A18,Data_Interim!P:P)</f>
        <v>8541185.6730070002</v>
      </c>
      <c r="R18" s="165">
        <f t="shared" si="18"/>
        <v>-12163446.150765996</v>
      </c>
      <c r="S18" s="166" t="str">
        <f t="shared" si="19"/>
        <v>▼</v>
      </c>
      <c r="T18" s="166">
        <f t="shared" si="20"/>
        <v>-0.58747464114768577</v>
      </c>
      <c r="U18" s="50"/>
      <c r="V18" s="147"/>
    </row>
    <row r="19" spans="1:22" ht="15" thickBot="1" x14ac:dyDescent="0.35">
      <c r="A19" s="79" t="s">
        <v>165</v>
      </c>
      <c r="B19" s="79">
        <f>SUMIFS(Data_Annual_BS!$D:$D,Data_Annual_BS!$A:$A,B$5-1,Data_Annual_BS!$B:$B,$A19)</f>
        <v>16000390</v>
      </c>
      <c r="C19" s="164">
        <f>SUMIF(Data_Interim!$B:$B,$A19,Data_Interim!N:N)</f>
        <v>15607875</v>
      </c>
      <c r="D19" s="165">
        <f t="shared" si="10"/>
        <v>-392515</v>
      </c>
      <c r="E19" s="166" t="str">
        <f t="shared" si="11"/>
        <v>▼</v>
      </c>
      <c r="F19" s="166">
        <f t="shared" si="12"/>
        <v>-2.4531589542504895E-2</v>
      </c>
      <c r="G19" s="167"/>
      <c r="H19" s="168"/>
      <c r="I19" s="79">
        <f>SUMIFS(Data_Annual_BS!$D:$D,Data_Annual_BS!$A:$A,I$5-1,Data_Annual_BS!$B:$B,$A19)</f>
        <v>6873002.5300000003</v>
      </c>
      <c r="J19" s="164">
        <f>SUMIF(Data_Interim!$B:$B,$A19,Data_Interim!O:O)</f>
        <v>2576681.58</v>
      </c>
      <c r="K19" s="165">
        <f t="shared" si="14"/>
        <v>-4296320.95</v>
      </c>
      <c r="L19" s="166" t="str">
        <f t="shared" si="15"/>
        <v>▼</v>
      </c>
      <c r="M19" s="166">
        <f t="shared" si="16"/>
        <v>-0.62510102844382343</v>
      </c>
      <c r="N19" s="167"/>
      <c r="O19" s="168"/>
      <c r="P19" s="79">
        <f>SUMIFS(Data_Annual_BS!$D:$D,Data_Annual_BS!$A:$A,P$5-1,Data_Annual_BS!$B:$B,$A19)</f>
        <v>70844.84</v>
      </c>
      <c r="Q19" s="164">
        <f>SUMIF(Data_Interim!$B:$B,$A19,Data_Interim!P:P)</f>
        <v>70845</v>
      </c>
      <c r="R19" s="165">
        <f t="shared" si="18"/>
        <v>0.16000000000349246</v>
      </c>
      <c r="S19" s="166" t="str">
        <f t="shared" si="19"/>
        <v>▲</v>
      </c>
      <c r="T19" s="166">
        <f t="shared" si="20"/>
        <v>2.2584566499173064E-6</v>
      </c>
      <c r="U19" s="50"/>
      <c r="V19" s="147"/>
    </row>
    <row r="20" spans="1:22" ht="15" thickBot="1" x14ac:dyDescent="0.35">
      <c r="A20" s="169" t="s">
        <v>8</v>
      </c>
      <c r="B20" s="170">
        <f>SUM(B14:B19)</f>
        <v>93356914</v>
      </c>
      <c r="C20" s="171">
        <f>SUM(C14:C19)</f>
        <v>100208296</v>
      </c>
      <c r="D20" s="170">
        <f t="shared" si="10"/>
        <v>6851382</v>
      </c>
      <c r="E20" s="172" t="str">
        <f t="shared" si="11"/>
        <v>▲</v>
      </c>
      <c r="F20" s="173">
        <f t="shared" si="12"/>
        <v>7.3389122523908723E-2</v>
      </c>
      <c r="G20" s="167"/>
      <c r="H20" s="168"/>
      <c r="I20" s="170">
        <f>SUM(I14:I19)</f>
        <v>100619241.92018783</v>
      </c>
      <c r="J20" s="171">
        <f>SUM(J14:J19)</f>
        <v>96764098.03478308</v>
      </c>
      <c r="K20" s="170">
        <f t="shared" si="14"/>
        <v>-3855143.8854047507</v>
      </c>
      <c r="L20" s="172" t="str">
        <f t="shared" si="15"/>
        <v>▼</v>
      </c>
      <c r="M20" s="173">
        <f t="shared" si="16"/>
        <v>-3.8314181381556067E-2</v>
      </c>
      <c r="N20" s="167"/>
      <c r="O20" s="168"/>
      <c r="P20" s="170">
        <f>SUM(P14:P19)</f>
        <v>97619272.390308842</v>
      </c>
      <c r="Q20" s="171">
        <f>SUM(Q14:Q19)</f>
        <v>108380938.08471972</v>
      </c>
      <c r="R20" s="170">
        <f t="shared" si="18"/>
        <v>10761665.694410875</v>
      </c>
      <c r="S20" s="172" t="str">
        <f t="shared" si="19"/>
        <v>▲</v>
      </c>
      <c r="T20" s="173">
        <f t="shared" si="20"/>
        <v>0.11024119962073442</v>
      </c>
      <c r="U20" s="50"/>
      <c r="V20" s="147"/>
    </row>
    <row r="21" spans="1:22" ht="15" thickBot="1" x14ac:dyDescent="0.35">
      <c r="A21" s="169" t="s">
        <v>10</v>
      </c>
      <c r="B21" s="170">
        <f>B20+B13</f>
        <v>311498896</v>
      </c>
      <c r="C21" s="171">
        <f>C20+C13</f>
        <v>311246556</v>
      </c>
      <c r="D21" s="170">
        <f t="shared" si="10"/>
        <v>-252340</v>
      </c>
      <c r="E21" s="172" t="str">
        <f t="shared" si="11"/>
        <v>▼</v>
      </c>
      <c r="F21" s="173">
        <f t="shared" si="12"/>
        <v>-8.1008312787089753E-4</v>
      </c>
      <c r="G21" s="167"/>
      <c r="H21" s="168"/>
      <c r="I21" s="170">
        <f>I20+I13</f>
        <v>299023147.82086593</v>
      </c>
      <c r="J21" s="171">
        <f>J20+J13</f>
        <v>286116911.54846799</v>
      </c>
      <c r="K21" s="170">
        <f t="shared" si="14"/>
        <v>-12906236.272397935</v>
      </c>
      <c r="L21" s="172" t="str">
        <f t="shared" si="15"/>
        <v>▼</v>
      </c>
      <c r="M21" s="173">
        <f t="shared" si="16"/>
        <v>-4.316132836689146E-2</v>
      </c>
      <c r="N21" s="167"/>
      <c r="O21" s="168"/>
      <c r="P21" s="170">
        <f>P20+P13</f>
        <v>279494458.70793933</v>
      </c>
      <c r="Q21" s="171">
        <f>Q20+Q13</f>
        <v>286427736.30710459</v>
      </c>
      <c r="R21" s="170">
        <f t="shared" si="18"/>
        <v>6933277.5991652608</v>
      </c>
      <c r="S21" s="172" t="str">
        <f t="shared" si="19"/>
        <v>▲</v>
      </c>
      <c r="T21" s="173">
        <f t="shared" si="20"/>
        <v>2.480649395060186E-2</v>
      </c>
      <c r="U21" s="50"/>
      <c r="V21" s="147"/>
    </row>
    <row r="22" spans="1:22" x14ac:dyDescent="0.3">
      <c r="A22" s="79" t="s">
        <v>12</v>
      </c>
      <c r="B22" s="79">
        <f>SUMIFS(Data_Annual_BS!$D:$D,Data_Annual_BS!$A:$A,B$5-1,Data_Annual_BS!$B:$B,$A22)</f>
        <v>26412210</v>
      </c>
      <c r="C22" s="164">
        <f>SUMIF(Data_Interim!$B:$B,$A22,Data_Interim!N:N)</f>
        <v>26412110</v>
      </c>
      <c r="D22" s="165">
        <f t="shared" si="10"/>
        <v>-100</v>
      </c>
      <c r="E22" s="166" t="str">
        <f t="shared" si="11"/>
        <v>▼</v>
      </c>
      <c r="F22" s="166">
        <f t="shared" si="12"/>
        <v>-3.7861277037976038E-6</v>
      </c>
      <c r="G22" s="167"/>
      <c r="H22" s="168"/>
      <c r="I22" s="79">
        <f>SUMIFS(Data_Annual_BS!$D:$D,Data_Annual_BS!$A:$A,I$5-1,Data_Annual_BS!$B:$B,$A22)</f>
        <v>26412209.943440005</v>
      </c>
      <c r="J22" s="164">
        <f>SUMIF(Data_Interim!$B:$B,$A22,Data_Interim!O:O)</f>
        <v>26412210.343440004</v>
      </c>
      <c r="K22" s="165">
        <f t="shared" si="14"/>
        <v>0.39999999850988388</v>
      </c>
      <c r="L22" s="166" t="str">
        <f t="shared" si="15"/>
        <v>▲</v>
      </c>
      <c r="M22" s="166">
        <f t="shared" si="16"/>
        <v>1.5144510756570639E-8</v>
      </c>
      <c r="N22" s="167"/>
      <c r="O22" s="168"/>
      <c r="P22" s="79">
        <f>SUMIFS(Data_Annual_BS!$D:$D,Data_Annual_BS!$A:$A,P$5-1,Data_Annual_BS!$B:$B,$A22)</f>
        <v>26412209.943440005</v>
      </c>
      <c r="Q22" s="164">
        <f>SUMIF(Data_Interim!$B:$B,$A22,Data_Interim!P:P)</f>
        <v>26412210.343440004</v>
      </c>
      <c r="R22" s="165">
        <f t="shared" si="18"/>
        <v>0.39999999850988388</v>
      </c>
      <c r="S22" s="166" t="str">
        <f t="shared" si="19"/>
        <v>▲</v>
      </c>
      <c r="T22" s="166">
        <f t="shared" si="20"/>
        <v>1.5144510756570639E-8</v>
      </c>
      <c r="U22" s="50"/>
      <c r="V22" s="147"/>
    </row>
    <row r="23" spans="1:22" x14ac:dyDescent="0.3">
      <c r="A23" s="79" t="s">
        <v>197</v>
      </c>
      <c r="B23" s="79">
        <f>SUMIFS(Data_Annual_BS!$D:$D,Data_Annual_BS!$A:$A,B$5-1,Data_Annual_BS!$B:$B,$A23)</f>
        <v>2182483</v>
      </c>
      <c r="C23" s="164">
        <f>SUMIF(Data_Interim!$B:$B,$A23,Data_Interim!N:N)</f>
        <v>2182283</v>
      </c>
      <c r="D23" s="165">
        <f t="shared" si="10"/>
        <v>-200</v>
      </c>
      <c r="E23" s="166" t="str">
        <f t="shared" si="11"/>
        <v>▼</v>
      </c>
      <c r="F23" s="166">
        <f t="shared" si="12"/>
        <v>-9.163874357787094E-5</v>
      </c>
      <c r="G23" s="167"/>
      <c r="H23" s="168"/>
      <c r="I23" s="79">
        <f>SUMIFS(Data_Annual_BS!$D:$D,Data_Annual_BS!$A:$A,I$5-1,Data_Annual_BS!$B:$B,$A23)</f>
        <v>2182283.2899999991</v>
      </c>
      <c r="J23" s="164">
        <f>SUMIF(Data_Interim!$B:$B,$A23,Data_Interim!O:O)</f>
        <v>2182283</v>
      </c>
      <c r="K23" s="165">
        <f t="shared" si="14"/>
        <v>-0.28999999910593033</v>
      </c>
      <c r="L23" s="166" t="str">
        <f t="shared" si="15"/>
        <v>▼</v>
      </c>
      <c r="M23" s="166">
        <f t="shared" si="16"/>
        <v>-1.3288833788926979E-7</v>
      </c>
      <c r="N23" s="167"/>
      <c r="O23" s="168"/>
      <c r="P23" s="79">
        <f>SUMIFS(Data_Annual_BS!$D:$D,Data_Annual_BS!$A:$A,P$5-1,Data_Annual_BS!$B:$B,$A23)</f>
        <v>2182283.2899999991</v>
      </c>
      <c r="Q23" s="164">
        <f>SUMIF(Data_Interim!$B:$B,$A23,Data_Interim!P:P)</f>
        <v>2182283</v>
      </c>
      <c r="R23" s="165">
        <f t="shared" si="18"/>
        <v>-0.28999999910593033</v>
      </c>
      <c r="S23" s="166" t="str">
        <f t="shared" si="19"/>
        <v>▼</v>
      </c>
      <c r="T23" s="166">
        <f t="shared" si="20"/>
        <v>-1.3288833788926979E-7</v>
      </c>
      <c r="U23" s="50"/>
      <c r="V23" s="147"/>
    </row>
    <row r="24" spans="1:22" x14ac:dyDescent="0.3">
      <c r="A24" s="79" t="s">
        <v>15</v>
      </c>
      <c r="B24" s="79">
        <f>SUMIFS(Data_Annual_BS!$D:$D,Data_Annual_BS!$A:$A,B$5-1,Data_Annual_BS!$B:$B,$A24)</f>
        <v>60137391</v>
      </c>
      <c r="C24" s="164">
        <f>SUMIF(Data_Interim!$B:$B,$A24,Data_Interim!N:N)</f>
        <v>59434062</v>
      </c>
      <c r="D24" s="165">
        <f t="shared" si="10"/>
        <v>-703329</v>
      </c>
      <c r="E24" s="166" t="str">
        <f t="shared" si="11"/>
        <v>▼</v>
      </c>
      <c r="F24" s="166">
        <f t="shared" si="12"/>
        <v>-1.1695369358474483E-2</v>
      </c>
      <c r="G24" s="167"/>
      <c r="H24" s="168"/>
      <c r="I24" s="79">
        <f>SUMIFS(Data_Annual_BS!$D:$D,Data_Annual_BS!$A:$A,I$5-1,Data_Annual_BS!$B:$B,$A24)</f>
        <v>60489520.997961394</v>
      </c>
      <c r="J24" s="164">
        <f>SUMIF(Data_Interim!$B:$B,$A24,Data_Interim!O:O)</f>
        <v>59790294.013682067</v>
      </c>
      <c r="K24" s="165">
        <f t="shared" si="14"/>
        <v>-699226.98427932709</v>
      </c>
      <c r="L24" s="166" t="str">
        <f t="shared" si="15"/>
        <v>▼</v>
      </c>
      <c r="M24" s="166">
        <f t="shared" si="16"/>
        <v>-1.1559472992072384E-2</v>
      </c>
      <c r="N24" s="167"/>
      <c r="O24" s="168"/>
      <c r="P24" s="79">
        <f>SUMIFS(Data_Annual_BS!$D:$D,Data_Annual_BS!$A:$A,P$5-1,Data_Annual_BS!$B:$B,$A24)</f>
        <v>60969077.209163398</v>
      </c>
      <c r="Q24" s="164">
        <f>SUMIF(Data_Interim!$B:$B,$A24,Data_Interim!P:P)</f>
        <v>60919829.809163399</v>
      </c>
      <c r="R24" s="165">
        <f t="shared" si="18"/>
        <v>-49247.39999999851</v>
      </c>
      <c r="S24" s="166" t="str">
        <f t="shared" si="19"/>
        <v>▼</v>
      </c>
      <c r="T24" s="166">
        <f t="shared" si="20"/>
        <v>-8.0774389664861612E-4</v>
      </c>
      <c r="U24" s="50"/>
      <c r="V24" s="147"/>
    </row>
    <row r="25" spans="1:22" x14ac:dyDescent="0.3">
      <c r="A25" s="79" t="s">
        <v>16</v>
      </c>
      <c r="B25" s="79">
        <f>SUMIFS(Data_Annual_BS!$D:$D,Data_Annual_BS!$A:$A,B$5-1,Data_Annual_BS!$B:$B,$A25)</f>
        <v>52896580</v>
      </c>
      <c r="C25" s="164">
        <f>SUMIF(Data_Interim!$B:$B,$A25,Data_Interim!N:N)</f>
        <v>51863731</v>
      </c>
      <c r="D25" s="165">
        <f t="shared" ref="D25" si="21">C25-B25</f>
        <v>-1032849</v>
      </c>
      <c r="E25" s="166" t="str">
        <f t="shared" ref="E25" si="22">IF(C25&gt;B25,"▲",IF(C25=B25,"▬","▼"))</f>
        <v>▼</v>
      </c>
      <c r="F25" s="166">
        <f t="shared" ref="F25" si="23">IF(ISERROR(C25/B25-100%),0,C25/B25-100%)</f>
        <v>-1.9525818115273208E-2</v>
      </c>
      <c r="G25" s="167"/>
      <c r="H25" s="168"/>
      <c r="I25" s="79">
        <f>SUMIFS(Data_Annual_BS!$D:$D,Data_Annual_BS!$A:$A,I$5-1,Data_Annual_BS!$B:$B,$A25)</f>
        <v>49570020.627917819</v>
      </c>
      <c r="J25" s="164">
        <f>SUMIF(Data_Interim!$B:$B,$A25,Data_Interim!O:O)</f>
        <v>48287043.513360359</v>
      </c>
      <c r="K25" s="165">
        <f t="shared" ref="K25" si="24">J25-I25</f>
        <v>-1282977.11455746</v>
      </c>
      <c r="L25" s="166" t="str">
        <f t="shared" ref="L25:L26" si="25">IF(J25&gt;I25,"▲",IF(J25=I25,"▬","▼"))</f>
        <v>▼</v>
      </c>
      <c r="M25" s="166">
        <f t="shared" ref="M25:M26" si="26">IF(ISERROR(J25/I25-100%),0,J25/I25-100%)</f>
        <v>-2.5882117826573792E-2</v>
      </c>
      <c r="N25" s="167"/>
      <c r="O25" s="168"/>
      <c r="P25" s="79">
        <f>SUMIFS(Data_Annual_BS!$D:$D,Data_Annual_BS!$A:$A,P$5-1,Data_Annual_BS!$B:$B,$A25)</f>
        <v>49238098.287676029</v>
      </c>
      <c r="Q25" s="164">
        <f>SUMIF(Data_Interim!$B:$B,$A25,Data_Interim!P:P)</f>
        <v>51180502.701539703</v>
      </c>
      <c r="R25" s="165">
        <f t="shared" ref="R25" si="27">Q25-P25</f>
        <v>1942404.4138636738</v>
      </c>
      <c r="S25" s="166" t="str">
        <f t="shared" ref="S25:S26" si="28">IF(Q25&gt;P25,"▲",IF(Q25=P25,"▬","▼"))</f>
        <v>▲</v>
      </c>
      <c r="T25" s="166">
        <f t="shared" ref="T25:T26" si="29">IF(ISERROR(Q25/P25-100%),0,Q25/P25-100%)</f>
        <v>3.9449216793773889E-2</v>
      </c>
      <c r="U25" s="50"/>
      <c r="V25" s="147"/>
    </row>
    <row r="26" spans="1:22" ht="28.8" x14ac:dyDescent="0.3">
      <c r="A26" s="79" t="s">
        <v>198</v>
      </c>
      <c r="B26" s="79">
        <f>SUM(B22:B25)</f>
        <v>141628664</v>
      </c>
      <c r="C26" s="164">
        <f t="shared" ref="C26:D26" si="30">SUM(C22:C25)</f>
        <v>139892186</v>
      </c>
      <c r="D26" s="165">
        <f t="shared" si="30"/>
        <v>-1736478</v>
      </c>
      <c r="E26" s="166" t="str">
        <f t="shared" ref="E26" si="31">IF(C26&gt;B26,"▲",IF(C26=B26,"▬","▼"))</f>
        <v>▼</v>
      </c>
      <c r="F26" s="166">
        <f t="shared" ref="F26" si="32">IF(ISERROR(C26/B26-100%),0,C26/B26-100%)</f>
        <v>-1.2260780769632884E-2</v>
      </c>
      <c r="G26" s="167"/>
      <c r="H26" s="168"/>
      <c r="I26" s="79">
        <f>SUM(I22:I25)</f>
        <v>138654034.85931921</v>
      </c>
      <c r="J26" s="164">
        <f t="shared" ref="J26" si="33">SUM(J22:J25)</f>
        <v>136671830.87048241</v>
      </c>
      <c r="K26" s="165">
        <f t="shared" ref="K26" si="34">SUM(K22:K25)</f>
        <v>-1982203.9888367876</v>
      </c>
      <c r="L26" s="166" t="str">
        <f t="shared" si="25"/>
        <v>▼</v>
      </c>
      <c r="M26" s="166">
        <f t="shared" si="26"/>
        <v>-1.4296042598745728E-2</v>
      </c>
      <c r="N26" s="167"/>
      <c r="O26" s="168"/>
      <c r="P26" s="79">
        <f>SUM(P22:P25)</f>
        <v>138801668.73027945</v>
      </c>
      <c r="Q26" s="164">
        <f t="shared" ref="Q26" si="35">SUM(Q22:Q25)</f>
        <v>140694825.85414311</v>
      </c>
      <c r="R26" s="165">
        <f t="shared" ref="R26" si="36">SUM(R22:R25)</f>
        <v>1893157.1238636747</v>
      </c>
      <c r="S26" s="166" t="str">
        <f t="shared" si="28"/>
        <v>▲</v>
      </c>
      <c r="T26" s="166">
        <f t="shared" si="29"/>
        <v>1.363929656740992E-2</v>
      </c>
      <c r="U26" s="50"/>
      <c r="V26" s="147"/>
    </row>
    <row r="27" spans="1:22" ht="15" thickBot="1" x14ac:dyDescent="0.35">
      <c r="A27" s="79" t="s">
        <v>200</v>
      </c>
      <c r="B27" s="79">
        <f>SUMIFS(Data_Annual_BS!$D:$D,Data_Annual_BS!$A:$A,B$5-1,Data_Annual_BS!$B:$B,$A27)</f>
        <v>938553</v>
      </c>
      <c r="C27" s="164">
        <f>SUMIF(Data_Interim!$B:$B,$A27,Data_Interim!N:N)</f>
        <v>918613</v>
      </c>
      <c r="D27" s="165">
        <f t="shared" si="10"/>
        <v>-19940</v>
      </c>
      <c r="E27" s="166" t="str">
        <f t="shared" si="11"/>
        <v>▼</v>
      </c>
      <c r="F27" s="166">
        <f t="shared" si="12"/>
        <v>-2.124547042095648E-2</v>
      </c>
      <c r="G27" s="167"/>
      <c r="H27" s="168"/>
      <c r="I27" s="79">
        <f>SUMIFS(Data_Annual_BS!$D:$D,Data_Annual_BS!$A:$A,I$5-1,Data_Annual_BS!$B:$B,$A27)</f>
        <v>907104.5727180551</v>
      </c>
      <c r="J27" s="164">
        <f>SUMIF(Data_Interim!$B:$B,$A27,Data_Interim!O:O)</f>
        <v>909560.97108332929</v>
      </c>
      <c r="K27" s="165">
        <f t="shared" si="14"/>
        <v>2456.3983652741881</v>
      </c>
      <c r="L27" s="166" t="str">
        <f t="shared" si="15"/>
        <v>▲</v>
      </c>
      <c r="M27" s="166">
        <f t="shared" si="16"/>
        <v>2.7079550022703902E-3</v>
      </c>
      <c r="N27" s="167"/>
      <c r="O27" s="168"/>
      <c r="P27" s="79">
        <f>SUMIFS(Data_Annual_BS!$D:$D,Data_Annual_BS!$A:$A,P$5-1,Data_Annual_BS!$B:$B,$A27)</f>
        <v>909941.30470211047</v>
      </c>
      <c r="Q27" s="164">
        <f>SUMIF(Data_Interim!$B:$B,$A27,Data_Interim!P:P)</f>
        <v>917037.70957776741</v>
      </c>
      <c r="R27" s="165">
        <f t="shared" si="18"/>
        <v>7096.4048756569391</v>
      </c>
      <c r="S27" s="166" t="str">
        <f t="shared" si="19"/>
        <v>▲</v>
      </c>
      <c r="T27" s="166">
        <f t="shared" si="20"/>
        <v>7.798750138043431E-3</v>
      </c>
      <c r="U27" s="50"/>
      <c r="V27" s="147"/>
    </row>
    <row r="28" spans="1:22" ht="15" thickBot="1" x14ac:dyDescent="0.35">
      <c r="A28" s="169" t="s">
        <v>18</v>
      </c>
      <c r="B28" s="170">
        <f>SUM(B26:B27)</f>
        <v>142567217</v>
      </c>
      <c r="C28" s="171">
        <f t="shared" ref="C28" si="37">SUM(C26:C27)</f>
        <v>140810799</v>
      </c>
      <c r="D28" s="170">
        <f t="shared" si="10"/>
        <v>-1756418</v>
      </c>
      <c r="E28" s="172" t="str">
        <f t="shared" si="11"/>
        <v>▼</v>
      </c>
      <c r="F28" s="173">
        <f t="shared" si="12"/>
        <v>-1.2319929061952561E-2</v>
      </c>
      <c r="G28" s="167"/>
      <c r="H28" s="168"/>
      <c r="I28" s="170">
        <f>SUM(I26:I27)</f>
        <v>139561139.43203726</v>
      </c>
      <c r="J28" s="171">
        <f t="shared" ref="J28" si="38">SUM(J26:J27)</f>
        <v>137581391.84156576</v>
      </c>
      <c r="K28" s="170">
        <f t="shared" si="14"/>
        <v>-1979747.5904715061</v>
      </c>
      <c r="L28" s="172" t="str">
        <f t="shared" si="15"/>
        <v>▼</v>
      </c>
      <c r="M28" s="173">
        <f t="shared" si="16"/>
        <v>-1.4185521833143144E-2</v>
      </c>
      <c r="N28" s="167"/>
      <c r="O28" s="168"/>
      <c r="P28" s="170">
        <f>SUM(P26:P27)</f>
        <v>139711610.03498155</v>
      </c>
      <c r="Q28" s="171">
        <f t="shared" ref="Q28" si="39">SUM(Q26:Q27)</f>
        <v>141611863.56372088</v>
      </c>
      <c r="R28" s="170">
        <f t="shared" si="18"/>
        <v>1900253.5287393332</v>
      </c>
      <c r="S28" s="172" t="str">
        <f t="shared" si="19"/>
        <v>▲</v>
      </c>
      <c r="T28" s="173">
        <f t="shared" si="20"/>
        <v>1.3601257105716025E-2</v>
      </c>
      <c r="U28" s="50"/>
      <c r="V28" s="147"/>
    </row>
    <row r="29" spans="1:22" x14ac:dyDescent="0.3">
      <c r="A29" s="79" t="s">
        <v>244</v>
      </c>
      <c r="B29" s="79">
        <f>SUMIFS(Data_Annual_BS!$D:$D,Data_Annual_BS!$A:$A,B$5-1,Data_Annual_BS!$B:$B,$A29)</f>
        <v>285294</v>
      </c>
      <c r="C29" s="164">
        <f>SUMIF(Data_Interim!$B:$B,$A29,Data_Interim!N:N)</f>
        <v>283594</v>
      </c>
      <c r="D29" s="165">
        <f t="shared" si="10"/>
        <v>-1700</v>
      </c>
      <c r="E29" s="166" t="str">
        <f t="shared" si="11"/>
        <v>▼</v>
      </c>
      <c r="F29" s="166">
        <f t="shared" si="12"/>
        <v>-5.9587653438207822E-3</v>
      </c>
      <c r="G29" s="167"/>
      <c r="H29" s="168"/>
      <c r="I29" s="79">
        <f>SUMIFS(Data_Annual_BS!$D:$D,Data_Annual_BS!$A:$A,I$5-1,Data_Annual_BS!$B:$B,$A29)</f>
        <v>248808.238247</v>
      </c>
      <c r="J29" s="164">
        <f>SUMIF(Data_Interim!$B:$B,$A29,Data_Interim!O:O)</f>
        <v>248808.238247</v>
      </c>
      <c r="K29" s="165">
        <f t="shared" si="14"/>
        <v>0</v>
      </c>
      <c r="L29" s="166" t="str">
        <f t="shared" si="15"/>
        <v>▬</v>
      </c>
      <c r="M29" s="166">
        <f t="shared" si="16"/>
        <v>0</v>
      </c>
      <c r="N29" s="167"/>
      <c r="O29" s="168"/>
      <c r="P29" s="79">
        <f>SUMIFS(Data_Annual_BS!$D:$D,Data_Annual_BS!$A:$A,P$5-1,Data_Annual_BS!$B:$B,$A29)</f>
        <v>446038</v>
      </c>
      <c r="Q29" s="164">
        <f>SUMIF(Data_Interim!$B:$B,$A29,Data_Interim!P:P)</f>
        <v>446038</v>
      </c>
      <c r="R29" s="165">
        <f t="shared" si="18"/>
        <v>0</v>
      </c>
      <c r="S29" s="166" t="str">
        <f t="shared" si="19"/>
        <v>▬</v>
      </c>
      <c r="T29" s="166">
        <f t="shared" si="20"/>
        <v>0</v>
      </c>
      <c r="U29" s="50"/>
      <c r="V29" s="147"/>
    </row>
    <row r="30" spans="1:22" s="80" customFormat="1" x14ac:dyDescent="0.3">
      <c r="A30" s="79" t="s">
        <v>204</v>
      </c>
      <c r="B30" s="79">
        <f>SUMIFS(Data_Annual_BS!$D:$D,Data_Annual_BS!$A:$A,B$5-1,Data_Annual_BS!$B:$B,$A30)</f>
        <v>8902075</v>
      </c>
      <c r="C30" s="164">
        <f>SUMIF(Data_Interim!$B:$B,$A30,Data_Interim!N:N)</f>
        <v>8897478</v>
      </c>
      <c r="D30" s="165">
        <f t="shared" si="10"/>
        <v>-4597</v>
      </c>
      <c r="E30" s="166" t="str">
        <f t="shared" si="11"/>
        <v>▼</v>
      </c>
      <c r="F30" s="166">
        <f t="shared" si="12"/>
        <v>-5.1639645812917578E-4</v>
      </c>
      <c r="G30" s="167"/>
      <c r="H30" s="168"/>
      <c r="I30" s="79">
        <f>SUMIFS(Data_Annual_BS!$D:$D,Data_Annual_BS!$A:$A,I$5-1,Data_Annual_BS!$B:$B,$A30)</f>
        <v>8364029</v>
      </c>
      <c r="J30" s="164">
        <f>SUMIF(Data_Interim!$B:$B,$A30,Data_Interim!O:O)</f>
        <v>8364029</v>
      </c>
      <c r="K30" s="165">
        <f t="shared" si="14"/>
        <v>0</v>
      </c>
      <c r="L30" s="166" t="str">
        <f t="shared" si="15"/>
        <v>▬</v>
      </c>
      <c r="M30" s="166">
        <f t="shared" si="16"/>
        <v>0</v>
      </c>
      <c r="N30" s="167"/>
      <c r="O30" s="168"/>
      <c r="P30" s="79">
        <f>SUMIFS(Data_Annual_BS!$D:$D,Data_Annual_BS!$A:$A,P$5-1,Data_Annual_BS!$B:$B,$A30)</f>
        <v>7852871</v>
      </c>
      <c r="Q30" s="164">
        <f>SUMIF(Data_Interim!$B:$B,$A30,Data_Interim!P:P)</f>
        <v>7857468</v>
      </c>
      <c r="R30" s="165">
        <f t="shared" si="18"/>
        <v>4597</v>
      </c>
      <c r="S30" s="166" t="str">
        <f t="shared" si="19"/>
        <v>▲</v>
      </c>
      <c r="T30" s="166">
        <f t="shared" si="20"/>
        <v>5.8539099903720526E-4</v>
      </c>
      <c r="U30" s="146"/>
      <c r="V30" s="148"/>
    </row>
    <row r="31" spans="1:22" x14ac:dyDescent="0.3">
      <c r="A31" s="79" t="s">
        <v>168</v>
      </c>
      <c r="B31" s="79">
        <f>SUMIFS(Data_Annual_BS!$D:$D,Data_Annual_BS!$A:$A,B$5-1,Data_Annual_BS!$B:$B,$A31)</f>
        <v>37264631</v>
      </c>
      <c r="C31" s="164">
        <f>SUMIF(Data_Interim!$B:$B,$A31,Data_Interim!N:N)</f>
        <v>31878206</v>
      </c>
      <c r="D31" s="165">
        <f t="shared" si="10"/>
        <v>-5386425</v>
      </c>
      <c r="E31" s="166" t="str">
        <f t="shared" si="11"/>
        <v>▼</v>
      </c>
      <c r="F31" s="166">
        <f t="shared" si="12"/>
        <v>-0.14454523915720507</v>
      </c>
      <c r="G31" s="167"/>
      <c r="H31" s="168"/>
      <c r="I31" s="79">
        <f>SUMIFS(Data_Annual_BS!$D:$D,Data_Annual_BS!$A:$A,I$5-1,Data_Annual_BS!$B:$B,$A31)</f>
        <v>23513246.189999998</v>
      </c>
      <c r="J31" s="164">
        <f>SUMIF(Data_Interim!$B:$B,$A31,Data_Interim!O:O)</f>
        <v>18355812.917566981</v>
      </c>
      <c r="K31" s="165">
        <f t="shared" si="14"/>
        <v>-5157433.2724330164</v>
      </c>
      <c r="L31" s="166" t="str">
        <f t="shared" si="15"/>
        <v>▼</v>
      </c>
      <c r="M31" s="166">
        <f t="shared" si="16"/>
        <v>-0.21934160986356843</v>
      </c>
      <c r="N31" s="167"/>
      <c r="O31" s="168"/>
      <c r="P31" s="79">
        <f>SUMIFS(Data_Annual_BS!$D:$D,Data_Annual_BS!$A:$A,P$5-1,Data_Annual_BS!$B:$B,$A31)</f>
        <v>17856699.280000001</v>
      </c>
      <c r="Q31" s="164">
        <f>SUMIF(Data_Interim!$B:$B,$A31,Data_Interim!P:P)</f>
        <v>12673742.65</v>
      </c>
      <c r="R31" s="165">
        <f t="shared" si="18"/>
        <v>-5182956.6300000008</v>
      </c>
      <c r="S31" s="166" t="str">
        <f t="shared" si="19"/>
        <v>▼</v>
      </c>
      <c r="T31" s="166">
        <f t="shared" si="20"/>
        <v>-0.29025278125196718</v>
      </c>
      <c r="U31" s="50"/>
      <c r="V31" s="147"/>
    </row>
    <row r="32" spans="1:22" ht="15" thickBot="1" x14ac:dyDescent="0.35">
      <c r="A32" s="79" t="s">
        <v>245</v>
      </c>
      <c r="B32" s="79">
        <f>SUMIFS(Data_Annual_BS!$D:$D,Data_Annual_BS!$A:$A,B$5-1,Data_Annual_BS!$B:$B,$A32)</f>
        <v>27300954</v>
      </c>
      <c r="C32" s="164">
        <f>SUMIF(Data_Interim!$B:$B,$A32,Data_Interim!N:N)</f>
        <v>25291889</v>
      </c>
      <c r="D32" s="165">
        <f t="shared" si="10"/>
        <v>-2009065</v>
      </c>
      <c r="E32" s="166" t="str">
        <f t="shared" si="11"/>
        <v>▼</v>
      </c>
      <c r="F32" s="166">
        <f t="shared" si="12"/>
        <v>-7.3589552951153325E-2</v>
      </c>
      <c r="G32" s="167"/>
      <c r="H32" s="168"/>
      <c r="I32" s="79">
        <f>SUMIFS(Data_Annual_BS!$D:$D,Data_Annual_BS!$A:$A,I$5-1,Data_Annual_BS!$B:$B,$A32)</f>
        <v>23506687.48</v>
      </c>
      <c r="J32" s="164">
        <f>SUMIF(Data_Interim!$B:$B,$A32,Data_Interim!O:O)</f>
        <v>21632216.100000001</v>
      </c>
      <c r="K32" s="165">
        <f t="shared" si="14"/>
        <v>-1874471.379999999</v>
      </c>
      <c r="L32" s="166" t="str">
        <f t="shared" si="15"/>
        <v>▼</v>
      </c>
      <c r="M32" s="166">
        <f t="shared" si="16"/>
        <v>-7.974204709169852E-2</v>
      </c>
      <c r="N32" s="167"/>
      <c r="O32" s="168"/>
      <c r="P32" s="79">
        <f>SUMIFS(Data_Annual_BS!$D:$D,Data_Annual_BS!$A:$A,P$5-1,Data_Annual_BS!$B:$B,$A32)</f>
        <v>19761266.899999999</v>
      </c>
      <c r="Q32" s="164">
        <f>SUMIF(Data_Interim!$B:$B,$A32,Data_Interim!P:P)</f>
        <v>17888421.300000001</v>
      </c>
      <c r="R32" s="165">
        <f t="shared" si="18"/>
        <v>-1872845.5999999978</v>
      </c>
      <c r="S32" s="166" t="str">
        <f t="shared" si="19"/>
        <v>▼</v>
      </c>
      <c r="T32" s="166">
        <f t="shared" si="20"/>
        <v>-9.477355928025033E-2</v>
      </c>
      <c r="U32" s="50"/>
      <c r="V32" s="147"/>
    </row>
    <row r="33" spans="1:22" ht="15" thickBot="1" x14ac:dyDescent="0.35">
      <c r="A33" s="169" t="s">
        <v>21</v>
      </c>
      <c r="B33" s="170">
        <f>SUM(B29:B32)</f>
        <v>73752954</v>
      </c>
      <c r="C33" s="171">
        <f>SUM(C29:C32)</f>
        <v>66351167</v>
      </c>
      <c r="D33" s="170">
        <f t="shared" si="10"/>
        <v>-7401787</v>
      </c>
      <c r="E33" s="172" t="str">
        <f t="shared" si="11"/>
        <v>▼</v>
      </c>
      <c r="F33" s="173">
        <f t="shared" si="12"/>
        <v>-0.10035919374836155</v>
      </c>
      <c r="G33" s="167"/>
      <c r="H33" s="168"/>
      <c r="I33" s="170">
        <f>SUM(I29:I32)</f>
        <v>55632770.908246994</v>
      </c>
      <c r="J33" s="171">
        <f>SUM(J29:J32)</f>
        <v>48600866.255813986</v>
      </c>
      <c r="K33" s="170">
        <f t="shared" si="14"/>
        <v>-7031904.652433008</v>
      </c>
      <c r="L33" s="172" t="str">
        <f t="shared" si="15"/>
        <v>▼</v>
      </c>
      <c r="M33" s="173">
        <f t="shared" si="16"/>
        <v>-0.1263986053117947</v>
      </c>
      <c r="N33" s="167"/>
      <c r="O33" s="168"/>
      <c r="P33" s="170">
        <f>SUM(P29:P32)</f>
        <v>45916875.18</v>
      </c>
      <c r="Q33" s="171">
        <f>SUM(Q29:Q32)</f>
        <v>38865669.950000003</v>
      </c>
      <c r="R33" s="170">
        <f t="shared" si="18"/>
        <v>-7051205.2299999967</v>
      </c>
      <c r="S33" s="172" t="str">
        <f t="shared" si="19"/>
        <v>▼</v>
      </c>
      <c r="T33" s="173">
        <f t="shared" si="20"/>
        <v>-0.15356457081102259</v>
      </c>
      <c r="U33" s="50"/>
      <c r="V33" s="147"/>
    </row>
    <row r="34" spans="1:22" x14ac:dyDescent="0.3">
      <c r="A34" s="79" t="s">
        <v>171</v>
      </c>
      <c r="B34" s="79">
        <f>SUMIFS(Data_Annual_BS!$D:$D,Data_Annual_BS!$A:$A,B$5-1,Data_Annual_BS!$B:$B,$A34)</f>
        <v>34352570</v>
      </c>
      <c r="C34" s="164">
        <f>SUMIF(Data_Interim!$B:$B,$A34,Data_Interim!N:N)</f>
        <v>41567656</v>
      </c>
      <c r="D34" s="165">
        <f t="shared" si="10"/>
        <v>7215086</v>
      </c>
      <c r="E34" s="166" t="str">
        <f t="shared" si="11"/>
        <v>▲</v>
      </c>
      <c r="F34" s="166">
        <f t="shared" si="12"/>
        <v>0.21003045769210282</v>
      </c>
      <c r="G34" s="167"/>
      <c r="H34" s="168"/>
      <c r="I34" s="79">
        <f>SUMIFS(Data_Annual_BS!$D:$D,Data_Annual_BS!$A:$A,I$5-1,Data_Annual_BS!$B:$B,$A34)</f>
        <v>35232435.053994887</v>
      </c>
      <c r="J34" s="164">
        <f>SUMIF(Data_Interim!$B:$B,$A34,Data_Interim!O:O)</f>
        <v>32835366.840300843</v>
      </c>
      <c r="K34" s="165">
        <f t="shared" si="14"/>
        <v>-2397068.2136940435</v>
      </c>
      <c r="L34" s="166" t="str">
        <f t="shared" si="15"/>
        <v>▼</v>
      </c>
      <c r="M34" s="166">
        <f t="shared" si="16"/>
        <v>-6.8035837148935574E-2</v>
      </c>
      <c r="N34" s="167"/>
      <c r="O34" s="168"/>
      <c r="P34" s="79">
        <f>SUMIFS(Data_Annual_BS!$D:$D,Data_Annual_BS!$A:$A,P$5-1,Data_Annual_BS!$B:$B,$A34)</f>
        <v>33374993.925974838</v>
      </c>
      <c r="Q34" s="164">
        <f>SUMIF(Data_Interim!$B:$B,$A34,Data_Interim!P:P)</f>
        <v>42098362.805974856</v>
      </c>
      <c r="R34" s="165">
        <f t="shared" si="18"/>
        <v>8723368.8800000176</v>
      </c>
      <c r="S34" s="166" t="str">
        <f t="shared" si="19"/>
        <v>▲</v>
      </c>
      <c r="T34" s="166">
        <f t="shared" si="20"/>
        <v>0.26137439603279922</v>
      </c>
      <c r="U34" s="50"/>
      <c r="V34" s="147"/>
    </row>
    <row r="35" spans="1:22" x14ac:dyDescent="0.3">
      <c r="A35" s="174" t="s">
        <v>172</v>
      </c>
      <c r="B35" s="174">
        <f>SUMIFS(Data_Annual_BS!$D:$D,Data_Annual_BS!$A:$A,B$5-1,Data_Annual_BS!$B:$B,$A35)</f>
        <v>52606680</v>
      </c>
      <c r="C35" s="175">
        <f>SUMIF(Data_Interim!$B:$B,$A35,Data_Interim!N:N)</f>
        <v>53918723</v>
      </c>
      <c r="D35" s="165">
        <f t="shared" si="10"/>
        <v>1312043</v>
      </c>
      <c r="E35" s="166" t="str">
        <f t="shared" si="11"/>
        <v>▲</v>
      </c>
      <c r="F35" s="166">
        <f t="shared" si="12"/>
        <v>2.4940615906573038E-2</v>
      </c>
      <c r="G35" s="167"/>
      <c r="H35" s="168"/>
      <c r="I35" s="174">
        <f>SUMIFS(Data_Annual_BS!$D:$D,Data_Annual_BS!$A:$A,I$5-1,Data_Annual_BS!$B:$B,$A35)</f>
        <v>60426062.469999999</v>
      </c>
      <c r="J35" s="175">
        <f>SUMIF(Data_Interim!$B:$B,$A35,Data_Interim!O:O)</f>
        <v>58800040.273814924</v>
      </c>
      <c r="K35" s="165">
        <f t="shared" si="14"/>
        <v>-1626022.1961850747</v>
      </c>
      <c r="L35" s="166" t="str">
        <f t="shared" si="15"/>
        <v>▼</v>
      </c>
      <c r="M35" s="166">
        <f t="shared" si="16"/>
        <v>-2.6909285988845566E-2</v>
      </c>
      <c r="N35" s="167"/>
      <c r="O35" s="168"/>
      <c r="P35" s="174">
        <f>SUMIFS(Data_Annual_BS!$D:$D,Data_Annual_BS!$A:$A,P$5-1,Data_Annual_BS!$B:$B,$A35)</f>
        <v>52867564.909999996</v>
      </c>
      <c r="Q35" s="175">
        <f>SUMIF(Data_Interim!$B:$B,$A35,Data_Interim!P:P)</f>
        <v>54515120.590000004</v>
      </c>
      <c r="R35" s="165">
        <f t="shared" si="18"/>
        <v>1647555.6800000072</v>
      </c>
      <c r="S35" s="166" t="str">
        <f t="shared" si="19"/>
        <v>▲</v>
      </c>
      <c r="T35" s="166">
        <f t="shared" si="20"/>
        <v>3.1163827628617913E-2</v>
      </c>
      <c r="U35" s="50"/>
      <c r="V35" s="147"/>
    </row>
    <row r="36" spans="1:22" ht="15" thickBot="1" x14ac:dyDescent="0.35">
      <c r="A36" s="79" t="s">
        <v>174</v>
      </c>
      <c r="B36" s="79">
        <f>SUMIFS(Data_Annual_BS!$D:$D,Data_Annual_BS!$A:$A,B$5-1,Data_Annual_BS!$B:$B,$A36)</f>
        <v>8219475</v>
      </c>
      <c r="C36" s="164">
        <f>SUMIF(Data_Interim!$B:$B,$A36,Data_Interim!N:N)</f>
        <v>8598211</v>
      </c>
      <c r="D36" s="165">
        <f t="shared" si="10"/>
        <v>378736</v>
      </c>
      <c r="E36" s="166" t="str">
        <f t="shared" si="11"/>
        <v>▲</v>
      </c>
      <c r="F36" s="176">
        <f t="shared" si="12"/>
        <v>4.607788210317576E-2</v>
      </c>
      <c r="G36" s="167"/>
      <c r="H36" s="168"/>
      <c r="I36" s="79">
        <f>SUMIFS(Data_Annual_BS!$D:$D,Data_Annual_BS!$A:$A,I$5-1,Data_Annual_BS!$B:$B,$A36)</f>
        <v>8170739.7774229459</v>
      </c>
      <c r="J36" s="164">
        <f>SUMIF(Data_Interim!$B:$B,$A36,Data_Interim!O:O)</f>
        <v>8299246.3358750008</v>
      </c>
      <c r="K36" s="165">
        <f t="shared" si="14"/>
        <v>128506.55845205486</v>
      </c>
      <c r="L36" s="166" t="str">
        <f t="shared" si="15"/>
        <v>▲</v>
      </c>
      <c r="M36" s="176">
        <f t="shared" si="16"/>
        <v>1.5727652813902981E-2</v>
      </c>
      <c r="N36" s="167"/>
      <c r="O36" s="168"/>
      <c r="P36" s="79">
        <f>SUMIFS(Data_Annual_BS!$D:$D,Data_Annual_BS!$A:$A,P$5-1,Data_Annual_BS!$B:$B,$A36)</f>
        <v>7623415.0058750007</v>
      </c>
      <c r="Q36" s="164">
        <f>SUMIF(Data_Interim!$B:$B,$A36,Data_Interim!P:P)</f>
        <v>9336719.5558749996</v>
      </c>
      <c r="R36" s="165">
        <f t="shared" si="18"/>
        <v>1713304.5499999989</v>
      </c>
      <c r="S36" s="166" t="str">
        <f t="shared" si="19"/>
        <v>▲</v>
      </c>
      <c r="T36" s="176">
        <f t="shared" si="20"/>
        <v>0.22474239545920516</v>
      </c>
      <c r="U36" s="50"/>
      <c r="V36" s="147"/>
    </row>
    <row r="37" spans="1:22" ht="15" thickBot="1" x14ac:dyDescent="0.35">
      <c r="A37" s="169" t="s">
        <v>23</v>
      </c>
      <c r="B37" s="169">
        <f>SUM(B34:B36)</f>
        <v>95178725</v>
      </c>
      <c r="C37" s="177">
        <f>SUM(C34:C36)</f>
        <v>104084590</v>
      </c>
      <c r="D37" s="170">
        <f t="shared" si="10"/>
        <v>8905865</v>
      </c>
      <c r="E37" s="172" t="str">
        <f t="shared" si="11"/>
        <v>▲</v>
      </c>
      <c r="F37" s="173">
        <f t="shared" si="12"/>
        <v>9.3569912814024381E-2</v>
      </c>
      <c r="G37" s="167"/>
      <c r="H37" s="168"/>
      <c r="I37" s="169">
        <f>SUM(I34:I36)</f>
        <v>103829237.30141784</v>
      </c>
      <c r="J37" s="177">
        <f>SUM(J34:J36)</f>
        <v>99934653.449990779</v>
      </c>
      <c r="K37" s="170">
        <f t="shared" si="14"/>
        <v>-3894583.8514270633</v>
      </c>
      <c r="L37" s="172" t="str">
        <f t="shared" si="15"/>
        <v>▼</v>
      </c>
      <c r="M37" s="173">
        <f t="shared" si="16"/>
        <v>-3.7509510352281894E-2</v>
      </c>
      <c r="N37" s="167"/>
      <c r="O37" s="168"/>
      <c r="P37" s="169">
        <f>SUM(P34:P36)</f>
        <v>93865973.841849849</v>
      </c>
      <c r="Q37" s="177">
        <f>SUM(Q34:Q36)</f>
        <v>105950202.95184986</v>
      </c>
      <c r="R37" s="170">
        <f t="shared" si="18"/>
        <v>12084229.110000014</v>
      </c>
      <c r="S37" s="172" t="str">
        <f t="shared" si="19"/>
        <v>▲</v>
      </c>
      <c r="T37" s="173">
        <f t="shared" si="20"/>
        <v>0.12873918647411187</v>
      </c>
      <c r="U37" s="50"/>
      <c r="V37" s="147"/>
    </row>
    <row r="38" spans="1:22" ht="15" thickBot="1" x14ac:dyDescent="0.35">
      <c r="A38" s="169" t="s">
        <v>25</v>
      </c>
      <c r="B38" s="169">
        <f>B37+B33</f>
        <v>168931679</v>
      </c>
      <c r="C38" s="177">
        <f>C37+C33</f>
        <v>170435757</v>
      </c>
      <c r="D38" s="170">
        <f t="shared" si="10"/>
        <v>1504078</v>
      </c>
      <c r="E38" s="172" t="str">
        <f t="shared" si="11"/>
        <v>▲</v>
      </c>
      <c r="F38" s="173">
        <f t="shared" si="12"/>
        <v>8.9034691947862399E-3</v>
      </c>
      <c r="G38" s="167"/>
      <c r="H38" s="168"/>
      <c r="I38" s="169">
        <f>I37+I33</f>
        <v>159462008.20966482</v>
      </c>
      <c r="J38" s="177">
        <f>J37+J33</f>
        <v>148535519.70580477</v>
      </c>
      <c r="K38" s="170">
        <f t="shared" si="14"/>
        <v>-10926488.503860056</v>
      </c>
      <c r="L38" s="172" t="str">
        <f t="shared" si="15"/>
        <v>▼</v>
      </c>
      <c r="M38" s="173">
        <f t="shared" si="16"/>
        <v>-6.8520951332141866E-2</v>
      </c>
      <c r="N38" s="167"/>
      <c r="O38" s="168"/>
      <c r="P38" s="169">
        <f>P37+P33</f>
        <v>139782849.02184984</v>
      </c>
      <c r="Q38" s="177">
        <f>Q37+Q33</f>
        <v>144815872.90184987</v>
      </c>
      <c r="R38" s="170">
        <f t="shared" si="18"/>
        <v>5033023.880000025</v>
      </c>
      <c r="S38" s="172" t="str">
        <f t="shared" si="19"/>
        <v>▲</v>
      </c>
      <c r="T38" s="173">
        <f t="shared" si="20"/>
        <v>3.6006018729903611E-2</v>
      </c>
      <c r="U38" s="50"/>
      <c r="V38" s="147"/>
    </row>
    <row r="39" spans="1:22" ht="15" thickBot="1" x14ac:dyDescent="0.35">
      <c r="A39" s="169" t="s">
        <v>27</v>
      </c>
      <c r="B39" s="169">
        <f>B38+B28</f>
        <v>311498896</v>
      </c>
      <c r="C39" s="177">
        <f>C38+C28</f>
        <v>311246556</v>
      </c>
      <c r="D39" s="170">
        <f t="shared" si="10"/>
        <v>-252340</v>
      </c>
      <c r="E39" s="172" t="str">
        <f t="shared" si="11"/>
        <v>▼</v>
      </c>
      <c r="F39" s="173">
        <f t="shared" si="12"/>
        <v>-8.1008312787089753E-4</v>
      </c>
      <c r="G39" s="167"/>
      <c r="H39" s="168"/>
      <c r="I39" s="169">
        <f>I38+I28</f>
        <v>299023147.64170206</v>
      </c>
      <c r="J39" s="177">
        <f>J38+J28</f>
        <v>286116911.54737055</v>
      </c>
      <c r="K39" s="170">
        <f t="shared" si="14"/>
        <v>-12906236.094331503</v>
      </c>
      <c r="L39" s="172" t="str">
        <f t="shared" si="15"/>
        <v>▼</v>
      </c>
      <c r="M39" s="173">
        <f t="shared" si="16"/>
        <v>-4.3161327797258453E-2</v>
      </c>
      <c r="N39" s="167"/>
      <c r="O39" s="168"/>
      <c r="P39" s="169">
        <f>P38+P28</f>
        <v>279494459.05683136</v>
      </c>
      <c r="Q39" s="177">
        <f>Q38+Q28</f>
        <v>286427736.46557075</v>
      </c>
      <c r="R39" s="170">
        <f t="shared" si="18"/>
        <v>6933277.408739388</v>
      </c>
      <c r="S39" s="172" t="str">
        <f t="shared" si="19"/>
        <v>▲</v>
      </c>
      <c r="T39" s="173">
        <f t="shared" si="20"/>
        <v>2.4806493238313632E-2</v>
      </c>
      <c r="U39" s="50"/>
      <c r="V39" s="147"/>
    </row>
    <row r="40" spans="1:22" x14ac:dyDescent="0.3">
      <c r="G40" s="50"/>
      <c r="H40" s="147"/>
      <c r="N40" s="50"/>
      <c r="O40" s="147"/>
      <c r="U40" s="50"/>
      <c r="V40" s="147"/>
    </row>
    <row r="41" spans="1:22" x14ac:dyDescent="0.3">
      <c r="A41" s="24"/>
      <c r="B41" s="67">
        <f>B39-B21</f>
        <v>0</v>
      </c>
      <c r="C41" s="67">
        <f>C39-C21</f>
        <v>0</v>
      </c>
      <c r="G41" s="50"/>
      <c r="H41" s="147"/>
      <c r="I41" s="67">
        <f>I39-I21</f>
        <v>-0.17916387319564819</v>
      </c>
      <c r="J41" s="67">
        <f>J39-J21</f>
        <v>-1.0974407196044922E-3</v>
      </c>
      <c r="N41" s="50"/>
      <c r="O41" s="147"/>
      <c r="P41" s="67">
        <f>P39-P21</f>
        <v>0.34889203310012817</v>
      </c>
      <c r="Q41" s="67">
        <f>Q39-Q21</f>
        <v>0.1584661602973938</v>
      </c>
      <c r="U41" s="50"/>
      <c r="V41" s="147"/>
    </row>
    <row r="42" spans="1:22" x14ac:dyDescent="0.3">
      <c r="A42" s="24" t="s">
        <v>41</v>
      </c>
    </row>
    <row r="46" spans="1:22" x14ac:dyDescent="0.3">
      <c r="B46" s="67"/>
      <c r="C46" s="67"/>
      <c r="D46" s="67"/>
      <c r="E46" s="67"/>
      <c r="G46" s="67"/>
      <c r="H46" s="67"/>
      <c r="I46" s="67"/>
      <c r="J46" s="67"/>
      <c r="K46" s="67"/>
      <c r="L46" s="67"/>
      <c r="N46" s="67"/>
      <c r="O46" s="67"/>
      <c r="P46" s="67"/>
      <c r="Q46" s="67"/>
      <c r="R46" s="67"/>
      <c r="S46" s="67"/>
      <c r="U46" s="67"/>
      <c r="V46" s="67"/>
    </row>
    <row r="47" spans="1:22" x14ac:dyDescent="0.3">
      <c r="B47" s="67"/>
      <c r="C47" s="67"/>
      <c r="D47" s="67"/>
      <c r="E47" s="67"/>
      <c r="G47" s="67"/>
      <c r="H47" s="67"/>
      <c r="I47" s="67"/>
      <c r="J47" s="67"/>
      <c r="K47" s="67"/>
      <c r="L47" s="67"/>
      <c r="N47" s="67"/>
      <c r="O47" s="67"/>
      <c r="P47" s="67"/>
      <c r="Q47" s="67"/>
      <c r="R47" s="67"/>
      <c r="S47" s="67"/>
      <c r="U47" s="67"/>
      <c r="V47" s="67"/>
    </row>
    <row r="48" spans="1:22" x14ac:dyDescent="0.3">
      <c r="B48" s="67"/>
      <c r="C48" s="67"/>
      <c r="D48" s="67"/>
      <c r="E48" s="67"/>
      <c r="G48" s="67"/>
      <c r="H48" s="67"/>
      <c r="I48" s="67"/>
      <c r="J48" s="67"/>
      <c r="K48" s="67"/>
      <c r="L48" s="67"/>
      <c r="N48" s="67"/>
      <c r="O48" s="67"/>
      <c r="P48" s="67"/>
      <c r="Q48" s="67"/>
      <c r="R48" s="67"/>
      <c r="S48" s="67"/>
      <c r="U48" s="67"/>
      <c r="V48" s="67"/>
    </row>
    <row r="49" spans="2:22" x14ac:dyDescent="0.3">
      <c r="B49" s="67"/>
      <c r="C49" s="67"/>
      <c r="D49" s="67"/>
      <c r="E49" s="67"/>
      <c r="G49" s="67"/>
      <c r="H49" s="67"/>
      <c r="I49" s="67"/>
      <c r="J49" s="67"/>
      <c r="K49" s="67"/>
      <c r="L49" s="67"/>
      <c r="N49" s="67"/>
      <c r="O49" s="67"/>
      <c r="P49" s="67"/>
      <c r="Q49" s="67"/>
      <c r="R49" s="67"/>
      <c r="S49" s="67"/>
      <c r="U49" s="67"/>
      <c r="V49" s="67"/>
    </row>
    <row r="50" spans="2:22" x14ac:dyDescent="0.3">
      <c r="B50" s="67"/>
      <c r="C50" s="67"/>
      <c r="D50" s="67"/>
      <c r="E50" s="67"/>
      <c r="G50" s="67"/>
      <c r="H50" s="67"/>
      <c r="I50" s="67"/>
      <c r="J50" s="67"/>
      <c r="K50" s="67"/>
      <c r="L50" s="67"/>
      <c r="N50" s="67"/>
      <c r="O50" s="67"/>
      <c r="P50" s="67"/>
      <c r="Q50" s="67"/>
      <c r="R50" s="67"/>
      <c r="S50" s="67"/>
      <c r="U50" s="67"/>
      <c r="V50" s="67"/>
    </row>
    <row r="51" spans="2:22" x14ac:dyDescent="0.3">
      <c r="B51" s="67"/>
      <c r="C51" s="67"/>
      <c r="D51" s="67"/>
      <c r="E51" s="67"/>
      <c r="G51" s="67"/>
      <c r="H51" s="67"/>
      <c r="I51" s="67"/>
      <c r="J51" s="67"/>
      <c r="K51" s="67"/>
      <c r="L51" s="67"/>
      <c r="N51" s="67"/>
      <c r="O51" s="67"/>
      <c r="P51" s="67"/>
      <c r="Q51" s="67"/>
      <c r="R51" s="67"/>
      <c r="S51" s="67"/>
      <c r="U51" s="67"/>
      <c r="V51" s="67"/>
    </row>
    <row r="52" spans="2:22" x14ac:dyDescent="0.3">
      <c r="B52" s="67"/>
      <c r="C52" s="67"/>
      <c r="D52" s="67"/>
      <c r="E52" s="67"/>
      <c r="G52" s="67"/>
      <c r="H52" s="67"/>
      <c r="I52" s="67"/>
      <c r="J52" s="67"/>
      <c r="K52" s="67"/>
      <c r="L52" s="67"/>
      <c r="N52" s="67"/>
      <c r="O52" s="67"/>
      <c r="P52" s="67"/>
      <c r="Q52" s="67"/>
      <c r="R52" s="67"/>
      <c r="S52" s="67"/>
      <c r="U52" s="67"/>
      <c r="V52" s="67"/>
    </row>
    <row r="53" spans="2:22" x14ac:dyDescent="0.3">
      <c r="B53" s="67"/>
      <c r="C53" s="67"/>
      <c r="D53" s="67"/>
      <c r="E53" s="67"/>
      <c r="G53" s="67"/>
      <c r="H53" s="67"/>
      <c r="I53" s="67"/>
      <c r="J53" s="67"/>
      <c r="K53" s="67"/>
      <c r="L53" s="67"/>
      <c r="N53" s="67"/>
      <c r="O53" s="67"/>
      <c r="P53" s="67"/>
      <c r="Q53" s="67"/>
      <c r="R53" s="67"/>
      <c r="S53" s="67"/>
      <c r="U53" s="67"/>
      <c r="V53" s="67"/>
    </row>
    <row r="54" spans="2:22" x14ac:dyDescent="0.3">
      <c r="B54" s="67"/>
      <c r="C54" s="67"/>
      <c r="D54" s="67"/>
      <c r="E54" s="67"/>
      <c r="G54" s="67"/>
      <c r="H54" s="67"/>
      <c r="I54" s="67"/>
      <c r="J54" s="67"/>
      <c r="K54" s="67"/>
      <c r="L54" s="67"/>
      <c r="N54" s="67"/>
      <c r="O54" s="67"/>
      <c r="P54" s="67"/>
      <c r="Q54" s="67"/>
      <c r="R54" s="67"/>
      <c r="S54" s="67"/>
      <c r="U54" s="67"/>
      <c r="V54" s="67"/>
    </row>
    <row r="55" spans="2:22" x14ac:dyDescent="0.3">
      <c r="B55" s="67"/>
      <c r="C55" s="67"/>
      <c r="D55" s="67"/>
      <c r="E55" s="67"/>
      <c r="G55" s="67"/>
      <c r="H55" s="67"/>
      <c r="I55" s="67"/>
      <c r="J55" s="67"/>
      <c r="K55" s="67"/>
      <c r="L55" s="67"/>
      <c r="N55" s="67"/>
      <c r="O55" s="67"/>
      <c r="P55" s="67"/>
      <c r="Q55" s="67"/>
      <c r="R55" s="67"/>
      <c r="S55" s="67"/>
      <c r="U55" s="67"/>
      <c r="V55" s="67"/>
    </row>
    <row r="56" spans="2:22" x14ac:dyDescent="0.3">
      <c r="B56" s="67"/>
      <c r="C56" s="67"/>
      <c r="D56" s="67"/>
      <c r="E56" s="67"/>
      <c r="G56" s="67"/>
      <c r="H56" s="67"/>
      <c r="I56" s="67"/>
      <c r="J56" s="67"/>
      <c r="K56" s="67"/>
      <c r="L56" s="67"/>
      <c r="N56" s="67"/>
      <c r="O56" s="67"/>
      <c r="P56" s="67"/>
      <c r="Q56" s="67"/>
      <c r="R56" s="67"/>
      <c r="S56" s="67"/>
      <c r="U56" s="67"/>
      <c r="V56" s="67"/>
    </row>
    <row r="57" spans="2:22" x14ac:dyDescent="0.3">
      <c r="B57" s="67"/>
      <c r="C57" s="67"/>
      <c r="D57" s="67"/>
      <c r="E57" s="67"/>
      <c r="G57" s="67"/>
      <c r="H57" s="67"/>
      <c r="I57" s="67"/>
      <c r="J57" s="67"/>
      <c r="K57" s="67"/>
      <c r="L57" s="67"/>
      <c r="N57" s="67"/>
      <c r="O57" s="67"/>
      <c r="P57" s="67"/>
      <c r="Q57" s="67"/>
      <c r="R57" s="67"/>
      <c r="S57" s="67"/>
      <c r="U57" s="67"/>
      <c r="V57" s="67"/>
    </row>
    <row r="58" spans="2:22" x14ac:dyDescent="0.3">
      <c r="B58" s="67"/>
      <c r="C58" s="67"/>
      <c r="D58" s="67"/>
      <c r="E58" s="67"/>
      <c r="G58" s="67"/>
      <c r="H58" s="67"/>
      <c r="I58" s="67"/>
      <c r="J58" s="67"/>
      <c r="K58" s="67"/>
      <c r="L58" s="67"/>
      <c r="N58" s="67"/>
      <c r="O58" s="67"/>
      <c r="P58" s="67"/>
      <c r="Q58" s="67"/>
      <c r="R58" s="67"/>
      <c r="S58" s="67"/>
      <c r="U58" s="67"/>
      <c r="V58" s="67"/>
    </row>
    <row r="59" spans="2:22" x14ac:dyDescent="0.3">
      <c r="B59" s="67"/>
      <c r="C59" s="67"/>
      <c r="D59" s="67"/>
      <c r="E59" s="67"/>
      <c r="G59" s="67"/>
      <c r="H59" s="67"/>
      <c r="I59" s="67"/>
      <c r="J59" s="67"/>
      <c r="K59" s="67"/>
      <c r="L59" s="67"/>
      <c r="N59" s="67"/>
      <c r="O59" s="67"/>
      <c r="P59" s="67"/>
      <c r="Q59" s="67"/>
      <c r="R59" s="67"/>
      <c r="S59" s="67"/>
      <c r="U59" s="67"/>
      <c r="V59" s="67"/>
    </row>
    <row r="60" spans="2:22" x14ac:dyDescent="0.3">
      <c r="B60" s="67"/>
      <c r="C60" s="67"/>
      <c r="D60" s="67"/>
      <c r="E60" s="67"/>
      <c r="G60" s="67"/>
      <c r="H60" s="67"/>
      <c r="I60" s="67"/>
      <c r="J60" s="67"/>
      <c r="K60" s="67"/>
      <c r="L60" s="67"/>
      <c r="N60" s="67"/>
      <c r="O60" s="67"/>
      <c r="P60" s="67"/>
      <c r="Q60" s="67"/>
      <c r="R60" s="67"/>
      <c r="S60" s="67"/>
      <c r="U60" s="67"/>
      <c r="V60" s="67"/>
    </row>
    <row r="61" spans="2:22" x14ac:dyDescent="0.3">
      <c r="B61" s="67"/>
      <c r="C61" s="67"/>
      <c r="D61" s="67"/>
      <c r="E61" s="67"/>
      <c r="G61" s="67"/>
      <c r="H61" s="67"/>
      <c r="I61" s="67"/>
      <c r="J61" s="67"/>
      <c r="K61" s="67"/>
      <c r="L61" s="67"/>
      <c r="N61" s="67"/>
      <c r="O61" s="67"/>
      <c r="P61" s="67"/>
      <c r="Q61" s="67"/>
      <c r="R61" s="67"/>
      <c r="S61" s="67"/>
      <c r="U61" s="67"/>
      <c r="V61" s="67"/>
    </row>
    <row r="62" spans="2:22" x14ac:dyDescent="0.3">
      <c r="B62" s="67"/>
      <c r="C62" s="67"/>
      <c r="D62" s="67"/>
      <c r="E62" s="67"/>
      <c r="G62" s="67"/>
      <c r="H62" s="67"/>
      <c r="I62" s="67"/>
      <c r="J62" s="67"/>
      <c r="K62" s="67"/>
      <c r="L62" s="67"/>
      <c r="N62" s="67"/>
      <c r="O62" s="67"/>
      <c r="P62" s="67"/>
      <c r="Q62" s="67"/>
      <c r="R62" s="67"/>
      <c r="S62" s="67"/>
      <c r="U62" s="67"/>
      <c r="V62" s="67"/>
    </row>
    <row r="63" spans="2:22" x14ac:dyDescent="0.3">
      <c r="B63" s="67"/>
      <c r="C63" s="67"/>
      <c r="D63" s="67"/>
      <c r="E63" s="67"/>
      <c r="G63" s="67"/>
      <c r="H63" s="67"/>
      <c r="I63" s="67"/>
      <c r="J63" s="67"/>
      <c r="K63" s="67"/>
      <c r="L63" s="67"/>
      <c r="N63" s="67"/>
      <c r="O63" s="67"/>
      <c r="P63" s="67"/>
      <c r="Q63" s="67"/>
      <c r="R63" s="67"/>
      <c r="S63" s="67"/>
      <c r="U63" s="67"/>
      <c r="V63" s="67"/>
    </row>
    <row r="64" spans="2:22" x14ac:dyDescent="0.3">
      <c r="B64" s="67"/>
      <c r="C64" s="67"/>
      <c r="D64" s="67"/>
      <c r="E64" s="67"/>
      <c r="G64" s="67"/>
      <c r="H64" s="67"/>
      <c r="I64" s="67"/>
      <c r="J64" s="67"/>
      <c r="K64" s="67"/>
      <c r="L64" s="67"/>
      <c r="N64" s="67"/>
      <c r="O64" s="67"/>
      <c r="P64" s="67"/>
      <c r="Q64" s="67"/>
      <c r="R64" s="67"/>
      <c r="S64" s="67"/>
      <c r="U64" s="67"/>
      <c r="V64" s="67"/>
    </row>
    <row r="65" spans="2:22" x14ac:dyDescent="0.3">
      <c r="B65" s="67"/>
      <c r="C65" s="67"/>
      <c r="D65" s="67"/>
      <c r="E65" s="67"/>
      <c r="G65" s="67"/>
      <c r="H65" s="67"/>
      <c r="I65" s="67"/>
      <c r="J65" s="67"/>
      <c r="K65" s="67"/>
      <c r="L65" s="67"/>
      <c r="N65" s="67"/>
      <c r="O65" s="67"/>
      <c r="P65" s="67"/>
      <c r="Q65" s="67"/>
      <c r="R65" s="67"/>
      <c r="S65" s="67"/>
      <c r="U65" s="67"/>
      <c r="V65" s="67"/>
    </row>
    <row r="66" spans="2:22" x14ac:dyDescent="0.3">
      <c r="B66" s="67"/>
      <c r="C66" s="67"/>
      <c r="D66" s="67"/>
      <c r="E66" s="67"/>
      <c r="G66" s="67"/>
      <c r="H66" s="67"/>
      <c r="I66" s="67"/>
      <c r="J66" s="67"/>
      <c r="K66" s="67"/>
      <c r="L66" s="67"/>
      <c r="N66" s="67"/>
      <c r="O66" s="67"/>
      <c r="P66" s="67"/>
      <c r="Q66" s="67"/>
      <c r="R66" s="67"/>
      <c r="S66" s="67"/>
      <c r="U66" s="67"/>
      <c r="V66" s="67"/>
    </row>
    <row r="67" spans="2:22" x14ac:dyDescent="0.3">
      <c r="B67" s="67"/>
      <c r="C67" s="67"/>
      <c r="D67" s="67"/>
      <c r="E67" s="67"/>
      <c r="G67" s="67"/>
      <c r="H67" s="67"/>
      <c r="I67" s="67"/>
      <c r="J67" s="67"/>
      <c r="K67" s="67"/>
      <c r="L67" s="67"/>
      <c r="N67" s="67"/>
      <c r="O67" s="67"/>
      <c r="P67" s="67"/>
      <c r="Q67" s="67"/>
      <c r="R67" s="67"/>
      <c r="S67" s="67"/>
      <c r="U67" s="67"/>
      <c r="V67" s="67"/>
    </row>
    <row r="68" spans="2:22" x14ac:dyDescent="0.3">
      <c r="B68" s="67"/>
      <c r="C68" s="67"/>
      <c r="D68" s="67"/>
      <c r="E68" s="67"/>
      <c r="G68" s="67"/>
      <c r="H68" s="67"/>
      <c r="I68" s="67"/>
      <c r="J68" s="67"/>
      <c r="K68" s="67"/>
      <c r="L68" s="67"/>
      <c r="N68" s="67"/>
      <c r="O68" s="67"/>
      <c r="P68" s="67"/>
      <c r="Q68" s="67"/>
      <c r="R68" s="67"/>
      <c r="S68" s="67"/>
      <c r="U68" s="67"/>
      <c r="V68" s="67"/>
    </row>
    <row r="69" spans="2:22" x14ac:dyDescent="0.3">
      <c r="B69" s="67"/>
      <c r="C69" s="67"/>
      <c r="D69" s="67"/>
      <c r="E69" s="67"/>
      <c r="G69" s="67"/>
      <c r="H69" s="67"/>
      <c r="I69" s="67"/>
      <c r="J69" s="67"/>
      <c r="K69" s="67"/>
      <c r="L69" s="67"/>
      <c r="N69" s="67"/>
      <c r="O69" s="67"/>
      <c r="P69" s="67"/>
      <c r="Q69" s="67"/>
      <c r="R69" s="67"/>
      <c r="S69" s="67"/>
      <c r="U69" s="67"/>
      <c r="V69" s="67"/>
    </row>
    <row r="70" spans="2:22" x14ac:dyDescent="0.3">
      <c r="B70" s="67"/>
      <c r="C70" s="67"/>
      <c r="D70" s="67"/>
      <c r="E70" s="67"/>
      <c r="G70" s="67"/>
      <c r="H70" s="67"/>
      <c r="I70" s="67"/>
      <c r="J70" s="67"/>
      <c r="K70" s="67"/>
      <c r="L70" s="67"/>
      <c r="N70" s="67"/>
      <c r="O70" s="67"/>
      <c r="P70" s="67"/>
      <c r="Q70" s="67"/>
      <c r="R70" s="67"/>
      <c r="S70" s="67"/>
      <c r="U70" s="67"/>
      <c r="V70" s="67"/>
    </row>
    <row r="71" spans="2:22" x14ac:dyDescent="0.3">
      <c r="B71" s="67"/>
      <c r="C71" s="67"/>
      <c r="D71" s="67"/>
      <c r="E71" s="67"/>
      <c r="G71" s="67"/>
      <c r="H71" s="67"/>
      <c r="I71" s="67"/>
      <c r="J71" s="67"/>
      <c r="K71" s="67"/>
      <c r="L71" s="67"/>
      <c r="N71" s="67"/>
      <c r="O71" s="67"/>
      <c r="P71" s="67"/>
      <c r="Q71" s="67"/>
      <c r="R71" s="67"/>
      <c r="S71" s="67"/>
      <c r="U71" s="67"/>
      <c r="V71" s="67"/>
    </row>
    <row r="72" spans="2:22" x14ac:dyDescent="0.3">
      <c r="B72" s="67"/>
      <c r="C72" s="67"/>
      <c r="D72" s="67"/>
      <c r="E72" s="67"/>
      <c r="G72" s="67"/>
      <c r="H72" s="67"/>
      <c r="I72" s="67"/>
      <c r="J72" s="67"/>
      <c r="K72" s="67"/>
      <c r="L72" s="67"/>
      <c r="N72" s="67"/>
      <c r="O72" s="67"/>
      <c r="P72" s="67"/>
      <c r="Q72" s="67"/>
      <c r="R72" s="67"/>
      <c r="S72" s="67"/>
      <c r="U72" s="67"/>
      <c r="V72" s="67"/>
    </row>
    <row r="73" spans="2:22" x14ac:dyDescent="0.3">
      <c r="B73" s="67"/>
      <c r="C73" s="67"/>
      <c r="D73" s="67"/>
      <c r="E73" s="67"/>
      <c r="G73" s="67"/>
      <c r="H73" s="67"/>
      <c r="I73" s="67"/>
      <c r="J73" s="67"/>
      <c r="K73" s="67"/>
      <c r="L73" s="67"/>
      <c r="N73" s="67"/>
      <c r="O73" s="67"/>
      <c r="P73" s="67"/>
      <c r="Q73" s="67"/>
      <c r="R73" s="67"/>
      <c r="S73" s="67"/>
      <c r="U73" s="67"/>
      <c r="V73" s="67"/>
    </row>
    <row r="74" spans="2:22" x14ac:dyDescent="0.3">
      <c r="B74" s="67"/>
      <c r="C74" s="67"/>
      <c r="D74" s="67"/>
      <c r="E74" s="67"/>
      <c r="G74" s="67"/>
      <c r="H74" s="67"/>
      <c r="I74" s="67"/>
      <c r="J74" s="67"/>
      <c r="K74" s="67"/>
      <c r="L74" s="67"/>
      <c r="N74" s="67"/>
      <c r="O74" s="67"/>
      <c r="P74" s="67"/>
      <c r="Q74" s="67"/>
      <c r="R74" s="67"/>
      <c r="S74" s="67"/>
      <c r="U74" s="67"/>
      <c r="V74" s="67"/>
    </row>
    <row r="75" spans="2:22" x14ac:dyDescent="0.3">
      <c r="B75" s="67"/>
    </row>
    <row r="76" spans="2:22" x14ac:dyDescent="0.3">
      <c r="B76" s="67"/>
    </row>
    <row r="77" spans="2:22" x14ac:dyDescent="0.3">
      <c r="B77" s="67"/>
    </row>
    <row r="78" spans="2:22" x14ac:dyDescent="0.3">
      <c r="B78" s="67"/>
    </row>
    <row r="79" spans="2:22" x14ac:dyDescent="0.3">
      <c r="B79" s="67"/>
    </row>
    <row r="80" spans="2:22" x14ac:dyDescent="0.3">
      <c r="B80" s="67"/>
    </row>
    <row r="81" spans="2:2" x14ac:dyDescent="0.3">
      <c r="B81" s="67"/>
    </row>
    <row r="82" spans="2:2" x14ac:dyDescent="0.3">
      <c r="B82" s="67"/>
    </row>
    <row r="83" spans="2:2" x14ac:dyDescent="0.3">
      <c r="B83" s="67"/>
    </row>
    <row r="84" spans="2:2" x14ac:dyDescent="0.3">
      <c r="B84" s="67"/>
    </row>
    <row r="85" spans="2:2" x14ac:dyDescent="0.3">
      <c r="B85" s="67"/>
    </row>
    <row r="86" spans="2:2" x14ac:dyDescent="0.3">
      <c r="B86" s="67"/>
    </row>
    <row r="87" spans="2:2" x14ac:dyDescent="0.3">
      <c r="B87" s="67"/>
    </row>
    <row r="88" spans="2:2" x14ac:dyDescent="0.3">
      <c r="B88" s="67"/>
    </row>
    <row r="89" spans="2:2" x14ac:dyDescent="0.3">
      <c r="B89" s="67"/>
    </row>
    <row r="90" spans="2:2" x14ac:dyDescent="0.3">
      <c r="B90" s="67"/>
    </row>
    <row r="91" spans="2:2" x14ac:dyDescent="0.3">
      <c r="B91" s="67"/>
    </row>
    <row r="92" spans="2:2" x14ac:dyDescent="0.3">
      <c r="B92" s="67"/>
    </row>
    <row r="93" spans="2:2" x14ac:dyDescent="0.3">
      <c r="B93" s="67"/>
    </row>
    <row r="94" spans="2:2" x14ac:dyDescent="0.3">
      <c r="B94" s="67"/>
    </row>
    <row r="95" spans="2:2" x14ac:dyDescent="0.3">
      <c r="B95" s="67"/>
    </row>
    <row r="96" spans="2:2" x14ac:dyDescent="0.3">
      <c r="B96" s="67"/>
    </row>
    <row r="97" spans="2:2" x14ac:dyDescent="0.3">
      <c r="B97" s="67"/>
    </row>
    <row r="98" spans="2:2" x14ac:dyDescent="0.3">
      <c r="B98" s="67"/>
    </row>
    <row r="99" spans="2:2" x14ac:dyDescent="0.3">
      <c r="B99" s="67"/>
    </row>
    <row r="100" spans="2:2" x14ac:dyDescent="0.3">
      <c r="B100" s="67"/>
    </row>
    <row r="101" spans="2:2" x14ac:dyDescent="0.3">
      <c r="B101" s="67"/>
    </row>
    <row r="102" spans="2:2" x14ac:dyDescent="0.3">
      <c r="B102" s="67"/>
    </row>
    <row r="103" spans="2:2" x14ac:dyDescent="0.3">
      <c r="B103" s="67"/>
    </row>
    <row r="104" spans="2:2" x14ac:dyDescent="0.3">
      <c r="B104" s="67"/>
    </row>
    <row r="105" spans="2:2" x14ac:dyDescent="0.3">
      <c r="B105" s="67"/>
    </row>
    <row r="106" spans="2:2" x14ac:dyDescent="0.3">
      <c r="B106" s="67"/>
    </row>
    <row r="107" spans="2:2" x14ac:dyDescent="0.3">
      <c r="B107" s="67"/>
    </row>
    <row r="108" spans="2:2" x14ac:dyDescent="0.3">
      <c r="B108" s="67"/>
    </row>
    <row r="109" spans="2:2" x14ac:dyDescent="0.3">
      <c r="B109" s="67"/>
    </row>
    <row r="110" spans="2:2" x14ac:dyDescent="0.3">
      <c r="B110" s="67"/>
    </row>
    <row r="111" spans="2:2" x14ac:dyDescent="0.3">
      <c r="B111" s="67"/>
    </row>
    <row r="112" spans="2:2" x14ac:dyDescent="0.3">
      <c r="B112" s="67"/>
    </row>
    <row r="113" spans="2:2" x14ac:dyDescent="0.3">
      <c r="B113" s="67"/>
    </row>
  </sheetData>
  <mergeCells count="5">
    <mergeCell ref="K4:M5"/>
    <mergeCell ref="R4:T5"/>
    <mergeCell ref="A1:D1"/>
    <mergeCell ref="A4:A5"/>
    <mergeCell ref="D4:F5"/>
  </mergeCells>
  <conditionalFormatting sqref="E22:E24 E29:E32 L29:L32 S29:S32 E34:E36 L34:L36 S34:S36 E6:E19 L6:L19 S6:S19 E27">
    <cfRule type="expression" dxfId="103" priority="72">
      <formula>C6=B6</formula>
    </cfRule>
    <cfRule type="expression" dxfId="102" priority="73">
      <formula>C6&lt;B6</formula>
    </cfRule>
    <cfRule type="expression" dxfId="101" priority="74">
      <formula>C6&gt;B6</formula>
    </cfRule>
  </conditionalFormatting>
  <conditionalFormatting sqref="E20:E21">
    <cfRule type="expression" dxfId="100" priority="69">
      <formula>C20=B20</formula>
    </cfRule>
    <cfRule type="expression" dxfId="99" priority="70">
      <formula>C20&lt;B20</formula>
    </cfRule>
    <cfRule type="expression" dxfId="98" priority="71">
      <formula>C20&gt;B20</formula>
    </cfRule>
  </conditionalFormatting>
  <conditionalFormatting sqref="E28">
    <cfRule type="expression" dxfId="97" priority="66">
      <formula>C28=B28</formula>
    </cfRule>
    <cfRule type="expression" dxfId="96" priority="67">
      <formula>C28&lt;B28</formula>
    </cfRule>
    <cfRule type="expression" dxfId="95" priority="68">
      <formula>C28&gt;B28</formula>
    </cfRule>
  </conditionalFormatting>
  <conditionalFormatting sqref="E33">
    <cfRule type="expression" dxfId="94" priority="63">
      <formula>C33=B33</formula>
    </cfRule>
    <cfRule type="expression" dxfId="93" priority="64">
      <formula>C33&lt;B33</formula>
    </cfRule>
    <cfRule type="expression" dxfId="92" priority="65">
      <formula>C33&gt;B33</formula>
    </cfRule>
  </conditionalFormatting>
  <conditionalFormatting sqref="E37:E39">
    <cfRule type="expression" dxfId="91" priority="60">
      <formula>C37=B37</formula>
    </cfRule>
    <cfRule type="expression" dxfId="90" priority="61">
      <formula>C37&lt;B37</formula>
    </cfRule>
    <cfRule type="expression" dxfId="89" priority="62">
      <formula>C37&gt;B37</formula>
    </cfRule>
  </conditionalFormatting>
  <conditionalFormatting sqref="L22:L24 L27">
    <cfRule type="expression" dxfId="88" priority="57">
      <formula>J22=I22</formula>
    </cfRule>
    <cfRule type="expression" dxfId="87" priority="58">
      <formula>J22&lt;I22</formula>
    </cfRule>
    <cfRule type="expression" dxfId="86" priority="59">
      <formula>J22&gt;I22</formula>
    </cfRule>
  </conditionalFormatting>
  <conditionalFormatting sqref="L20:L21">
    <cfRule type="expression" dxfId="85" priority="54">
      <formula>J20=I20</formula>
    </cfRule>
    <cfRule type="expression" dxfId="84" priority="55">
      <formula>J20&lt;I20</formula>
    </cfRule>
    <cfRule type="expression" dxfId="83" priority="56">
      <formula>J20&gt;I20</formula>
    </cfRule>
  </conditionalFormatting>
  <conditionalFormatting sqref="L37:L39">
    <cfRule type="expression" dxfId="82" priority="45">
      <formula>J37=I37</formula>
    </cfRule>
    <cfRule type="expression" dxfId="81" priority="46">
      <formula>J37&lt;I37</formula>
    </cfRule>
    <cfRule type="expression" dxfId="80" priority="47">
      <formula>J37&gt;I37</formula>
    </cfRule>
  </conditionalFormatting>
  <conditionalFormatting sqref="L33">
    <cfRule type="expression" dxfId="79" priority="48">
      <formula>J33=I33</formula>
    </cfRule>
    <cfRule type="expression" dxfId="78" priority="49">
      <formula>J33&lt;I33</formula>
    </cfRule>
    <cfRule type="expression" dxfId="77" priority="50">
      <formula>J33&gt;I33</formula>
    </cfRule>
  </conditionalFormatting>
  <conditionalFormatting sqref="S22:S24 S27">
    <cfRule type="expression" dxfId="76" priority="42">
      <formula>Q22=P22</formula>
    </cfRule>
    <cfRule type="expression" dxfId="75" priority="43">
      <formula>Q22&lt;P22</formula>
    </cfRule>
    <cfRule type="expression" dxfId="74" priority="44">
      <formula>Q22&gt;P22</formula>
    </cfRule>
  </conditionalFormatting>
  <conditionalFormatting sqref="S20:S21">
    <cfRule type="expression" dxfId="73" priority="39">
      <formula>Q20=P20</formula>
    </cfRule>
    <cfRule type="expression" dxfId="72" priority="40">
      <formula>Q20&lt;P20</formula>
    </cfRule>
    <cfRule type="expression" dxfId="71" priority="41">
      <formula>Q20&gt;P20</formula>
    </cfRule>
  </conditionalFormatting>
  <conditionalFormatting sqref="S33">
    <cfRule type="expression" dxfId="70" priority="33">
      <formula>Q33=P33</formula>
    </cfRule>
    <cfRule type="expression" dxfId="69" priority="34">
      <formula>Q33&lt;P33</formula>
    </cfRule>
    <cfRule type="expression" dxfId="68" priority="35">
      <formula>Q33&gt;P33</formula>
    </cfRule>
  </conditionalFormatting>
  <conditionalFormatting sqref="S37:S39">
    <cfRule type="expression" dxfId="67" priority="30">
      <formula>Q37=P37</formula>
    </cfRule>
    <cfRule type="expression" dxfId="66" priority="31">
      <formula>Q37&lt;P37</formula>
    </cfRule>
    <cfRule type="expression" dxfId="65" priority="32">
      <formula>Q37&gt;P37</formula>
    </cfRule>
  </conditionalFormatting>
  <conditionalFormatting sqref="T36">
    <cfRule type="containsErrors" dxfId="64" priority="29">
      <formula>ISERROR(T36)</formula>
    </cfRule>
  </conditionalFormatting>
  <conditionalFormatting sqref="M36">
    <cfRule type="containsErrors" dxfId="63" priority="26">
      <formula>ISERROR(M36)</formula>
    </cfRule>
  </conditionalFormatting>
  <conditionalFormatting sqref="F36">
    <cfRule type="containsErrors" dxfId="62" priority="25">
      <formula>ISERROR(F36)</formula>
    </cfRule>
  </conditionalFormatting>
  <conditionalFormatting sqref="E25">
    <cfRule type="expression" dxfId="61" priority="22">
      <formula>C25=B25</formula>
    </cfRule>
    <cfRule type="expression" dxfId="60" priority="23">
      <formula>C25&lt;B25</formula>
    </cfRule>
    <cfRule type="expression" dxfId="59" priority="24">
      <formula>C25&gt;B25</formula>
    </cfRule>
  </conditionalFormatting>
  <conditionalFormatting sqref="L25">
    <cfRule type="expression" dxfId="58" priority="19">
      <formula>J25=I25</formula>
    </cfRule>
    <cfRule type="expression" dxfId="57" priority="20">
      <formula>J25&lt;I25</formula>
    </cfRule>
    <cfRule type="expression" dxfId="56" priority="21">
      <formula>J25&gt;I25</formula>
    </cfRule>
  </conditionalFormatting>
  <conditionalFormatting sqref="S25">
    <cfRule type="expression" dxfId="55" priority="16">
      <formula>Q25=P25</formula>
    </cfRule>
    <cfRule type="expression" dxfId="54" priority="17">
      <formula>Q25&lt;P25</formula>
    </cfRule>
    <cfRule type="expression" dxfId="53" priority="18">
      <formula>Q25&gt;P25</formula>
    </cfRule>
  </conditionalFormatting>
  <conditionalFormatting sqref="E26">
    <cfRule type="expression" dxfId="52" priority="13">
      <formula>C26=B26</formula>
    </cfRule>
    <cfRule type="expression" dxfId="51" priority="14">
      <formula>C26&lt;B26</formula>
    </cfRule>
    <cfRule type="expression" dxfId="50" priority="15">
      <formula>C26&gt;B26</formula>
    </cfRule>
  </conditionalFormatting>
  <conditionalFormatting sqref="L26">
    <cfRule type="expression" dxfId="49" priority="10">
      <formula>J26=I26</formula>
    </cfRule>
    <cfRule type="expression" dxfId="48" priority="11">
      <formula>J26&lt;I26</formula>
    </cfRule>
    <cfRule type="expression" dxfId="47" priority="12">
      <formula>J26&gt;I26</formula>
    </cfRule>
  </conditionalFormatting>
  <conditionalFormatting sqref="S26">
    <cfRule type="expression" dxfId="46" priority="7">
      <formula>Q26=P26</formula>
    </cfRule>
    <cfRule type="expression" dxfId="45" priority="8">
      <formula>Q26&lt;P26</formula>
    </cfRule>
    <cfRule type="expression" dxfId="44" priority="9">
      <formula>Q26&gt;P26</formula>
    </cfRule>
  </conditionalFormatting>
  <conditionalFormatting sqref="L28">
    <cfRule type="expression" dxfId="43" priority="4">
      <formula>J28=I28</formula>
    </cfRule>
    <cfRule type="expression" dxfId="42" priority="5">
      <formula>J28&lt;I28</formula>
    </cfRule>
    <cfRule type="expression" dxfId="41" priority="6">
      <formula>J28&gt;I28</formula>
    </cfRule>
  </conditionalFormatting>
  <conditionalFormatting sqref="S28">
    <cfRule type="expression" dxfId="40" priority="1">
      <formula>Q28=P28</formula>
    </cfRule>
    <cfRule type="expression" dxfId="39" priority="2">
      <formula>Q28&lt;P28</formula>
    </cfRule>
    <cfRule type="expression" dxfId="38" priority="3">
      <formula>Q28&gt;P28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104"/>
  <sheetViews>
    <sheetView showGridLines="0"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defaultColWidth="9.109375" defaultRowHeight="14.4" x14ac:dyDescent="0.3"/>
  <cols>
    <col min="1" max="1" width="3.6640625" style="49" customWidth="1"/>
    <col min="2" max="2" width="60.109375" style="49" customWidth="1"/>
    <col min="3" max="3" width="13.44140625" style="49" bestFit="1" customWidth="1"/>
    <col min="4" max="4" width="13.33203125" style="49" bestFit="1" customWidth="1"/>
    <col min="5" max="7" width="13.88671875" style="49" bestFit="1" customWidth="1"/>
    <col min="8" max="8" width="2.88671875" style="49" customWidth="1"/>
    <col min="9" max="9" width="13.109375" style="49" bestFit="1" customWidth="1"/>
    <col min="10" max="10" width="7.5546875" style="49" bestFit="1" customWidth="1"/>
    <col min="11" max="11" width="1.5546875" style="49" customWidth="1"/>
    <col min="12" max="12" width="9" style="49" bestFit="1" customWidth="1"/>
    <col min="13" max="13" width="8.33203125" style="49" bestFit="1" customWidth="1"/>
    <col min="14" max="14" width="9" style="49" bestFit="1" customWidth="1"/>
    <col min="15" max="15" width="8.88671875" style="28" bestFit="1" customWidth="1"/>
    <col min="16" max="16" width="7.77734375" style="49" bestFit="1" customWidth="1"/>
    <col min="17" max="17" width="4.33203125" style="49" customWidth="1"/>
    <col min="18" max="16384" width="9.109375" style="49"/>
  </cols>
  <sheetData>
    <row r="1" spans="2:15" x14ac:dyDescent="0.3">
      <c r="B1" s="95" t="s">
        <v>248</v>
      </c>
    </row>
    <row r="2" spans="2:15" ht="15" thickBot="1" x14ac:dyDescent="0.35">
      <c r="B2" s="8"/>
      <c r="C2" s="66"/>
      <c r="D2" s="66"/>
      <c r="E2" s="66"/>
      <c r="F2" s="66"/>
      <c r="G2" s="66"/>
      <c r="H2" s="10"/>
      <c r="I2" s="11"/>
      <c r="J2" s="10"/>
    </row>
    <row r="3" spans="2:15" s="80" customFormat="1" ht="18" customHeight="1" thickBot="1" x14ac:dyDescent="0.35">
      <c r="B3" s="91"/>
      <c r="C3" s="182" t="s">
        <v>249</v>
      </c>
      <c r="D3" s="182" t="s">
        <v>250</v>
      </c>
      <c r="E3" s="182" t="s">
        <v>251</v>
      </c>
      <c r="F3" s="182" t="s">
        <v>252</v>
      </c>
      <c r="G3" s="182" t="s">
        <v>253</v>
      </c>
      <c r="H3" s="221" t="str">
        <f>CONCATENATE(Data_Interim!P3," vs. ",Data_Interim!O3)</f>
        <v>2021 vs. 2020</v>
      </c>
      <c r="I3" s="221"/>
      <c r="J3" s="221"/>
      <c r="O3" s="183"/>
    </row>
    <row r="4" spans="2:15" x14ac:dyDescent="0.3">
      <c r="B4" s="13" t="s">
        <v>176</v>
      </c>
      <c r="C4" s="13">
        <f>SUMIF(Data_Interim!$B:$B,$B4,Data_Interim!L:L)</f>
        <v>124258442</v>
      </c>
      <c r="D4" s="13">
        <f>SUMIF(Data_Interim!$B:$B,$B4,Data_Interim!M:M)</f>
        <v>128475060</v>
      </c>
      <c r="E4" s="13">
        <f>SUMIF(Data_Interim!$B:$B,$B4,Data_Interim!N:N)</f>
        <v>121793575</v>
      </c>
      <c r="F4" s="13">
        <f>SUMIF(Data_Interim!$B:$B,$B4,Data_Interim!O:O)</f>
        <v>126910420.85327999</v>
      </c>
      <c r="G4" s="13">
        <f>SUMIF(Data_Interim!$B:$B,$B4,Data_Interim!P:P)</f>
        <v>154935051.10545346</v>
      </c>
      <c r="H4" s="9" t="str">
        <f>IF(G4+F4&gt;0,IF(G4&gt;F4,"▲",IF(G4=F4,"▬","▼")),IF(G4&gt;F4,"▼",IF(G4=F4,"▬","▲")))</f>
        <v>▲</v>
      </c>
      <c r="I4" s="13">
        <f>G4-F4</f>
        <v>28024630.252173468</v>
      </c>
      <c r="J4" s="14">
        <f>G4/F4-1</f>
        <v>0.22082213630488612</v>
      </c>
    </row>
    <row r="5" spans="2:15" x14ac:dyDescent="0.3">
      <c r="B5" s="184" t="s">
        <v>37</v>
      </c>
      <c r="C5" s="15">
        <f>SUMIF(Data_Interim!$B:$B,$B5,Data_Interim!L:L)</f>
        <v>2959053</v>
      </c>
      <c r="D5" s="15">
        <f>SUMIF(Data_Interim!$B:$B,$B5,Data_Interim!M:M)</f>
        <v>2833247</v>
      </c>
      <c r="E5" s="15">
        <f>SUMIF(Data_Interim!$B:$B,$B5,Data_Interim!N:N)</f>
        <v>2995465</v>
      </c>
      <c r="F5" s="15">
        <f>SUMIF(Data_Interim!$B:$B,$B5,Data_Interim!O:O)</f>
        <v>2586718.04</v>
      </c>
      <c r="G5" s="15">
        <f>SUMIF(Data_Interim!$B:$B,$B5,Data_Interim!P:P)</f>
        <v>2910372.57</v>
      </c>
      <c r="H5" s="9" t="str">
        <f t="shared" ref="H5:H25" si="0">IF(G5+F5&gt;0,IF(G5&gt;F5,"▲",IF(G5=F5,"▬","▼")),IF(G5&gt;F5,"▼",IF(G5=F5,"▬","▲")))</f>
        <v>▲</v>
      </c>
      <c r="I5" s="15">
        <f t="shared" ref="I5:I25" si="1">G5-F5</f>
        <v>323654.5299999998</v>
      </c>
      <c r="J5" s="14">
        <f t="shared" ref="J5:J18" si="2">G5/F5-1</f>
        <v>0.12512168894913644</v>
      </c>
    </row>
    <row r="6" spans="2:15" x14ac:dyDescent="0.3">
      <c r="B6" s="184" t="s">
        <v>178</v>
      </c>
      <c r="C6" s="15">
        <f>SUMIF(Data_Interim!$B:$B,$B6,Data_Interim!L:L)</f>
        <v>3317750</v>
      </c>
      <c r="D6" s="15">
        <f>SUMIF(Data_Interim!$B:$B,$B6,Data_Interim!M:M)</f>
        <v>955019</v>
      </c>
      <c r="E6" s="15">
        <f>SUMIF(Data_Interim!$B:$B,$B6,Data_Interim!N:N)</f>
        <v>2554290</v>
      </c>
      <c r="F6" s="15">
        <f>SUMIF(Data_Interim!$B:$B,$B6,Data_Interim!O:O)</f>
        <v>-1253895.1100000001</v>
      </c>
      <c r="G6" s="15">
        <f>SUMIF(Data_Interim!$B:$B,$B6,Data_Interim!P:P)</f>
        <v>5243674.8900000006</v>
      </c>
      <c r="H6" s="9" t="str">
        <f t="shared" si="0"/>
        <v>▲</v>
      </c>
      <c r="I6" s="15">
        <f t="shared" si="1"/>
        <v>6497570.0000000009</v>
      </c>
      <c r="J6" s="14">
        <f t="shared" si="2"/>
        <v>-5.1819087164316322</v>
      </c>
    </row>
    <row r="7" spans="2:15" x14ac:dyDescent="0.3">
      <c r="B7" s="184" t="s">
        <v>180</v>
      </c>
      <c r="C7" s="15">
        <f>SUMIF(Data_Interim!$B:$B,$B7,Data_Interim!L:L)</f>
        <v>-84588608</v>
      </c>
      <c r="D7" s="15">
        <f>SUMIF(Data_Interim!$B:$B,$B7,Data_Interim!M:M)</f>
        <v>-83203548</v>
      </c>
      <c r="E7" s="15">
        <f>SUMIF(Data_Interim!$B:$B,$B7,Data_Interim!N:N)</f>
        <v>-77897798</v>
      </c>
      <c r="F7" s="15">
        <f>SUMIF(Data_Interim!$B:$B,$B7,Data_Interim!O:O)</f>
        <v>-74120062.000637665</v>
      </c>
      <c r="G7" s="15">
        <f>SUMIF(Data_Interim!$B:$B,$B7,Data_Interim!P:P)</f>
        <v>-104614407.24700882</v>
      </c>
      <c r="H7" s="9" t="str">
        <f t="shared" si="0"/>
        <v>▲</v>
      </c>
      <c r="I7" s="15">
        <f t="shared" si="1"/>
        <v>-30494345.24637115</v>
      </c>
      <c r="J7" s="14">
        <f t="shared" si="2"/>
        <v>0.41141823715836612</v>
      </c>
    </row>
    <row r="8" spans="2:15" x14ac:dyDescent="0.3">
      <c r="B8" s="184" t="s">
        <v>181</v>
      </c>
      <c r="C8" s="15">
        <f>SUMIF(Data_Interim!$B:$B,$B8,Data_Interim!L:L)</f>
        <v>-29833421</v>
      </c>
      <c r="D8" s="15">
        <f>SUMIF(Data_Interim!$B:$B,$B8,Data_Interim!M:M)</f>
        <v>-32427851</v>
      </c>
      <c r="E8" s="15">
        <f>SUMIF(Data_Interim!$B:$B,$B8,Data_Interim!N:N)</f>
        <v>-33783127</v>
      </c>
      <c r="F8" s="15">
        <f>SUMIF(Data_Interim!$B:$B,$B8,Data_Interim!O:O)</f>
        <v>-34533094.609999999</v>
      </c>
      <c r="G8" s="15">
        <f>SUMIF(Data_Interim!$B:$B,$B8,Data_Interim!P:P)</f>
        <v>-37294802.920000002</v>
      </c>
      <c r="H8" s="9" t="str">
        <f t="shared" si="0"/>
        <v>▲</v>
      </c>
      <c r="I8" s="15">
        <f t="shared" si="1"/>
        <v>-2761708.3100000024</v>
      </c>
      <c r="J8" s="14">
        <f t="shared" si="2"/>
        <v>7.9972801198079591E-2</v>
      </c>
    </row>
    <row r="9" spans="2:15" x14ac:dyDescent="0.3">
      <c r="B9" s="184" t="s">
        <v>182</v>
      </c>
      <c r="C9" s="15">
        <f>SUMIF(Data_Interim!$B:$B,$B9,Data_Interim!L:L)</f>
        <v>-8044716</v>
      </c>
      <c r="D9" s="15">
        <f>SUMIF(Data_Interim!$B:$B,$B9,Data_Interim!M:M)</f>
        <v>-8254973</v>
      </c>
      <c r="E9" s="15">
        <f>SUMIF(Data_Interim!$B:$B,$B9,Data_Interim!N:N)</f>
        <v>-8153995</v>
      </c>
      <c r="F9" s="15">
        <f>SUMIF(Data_Interim!$B:$B,$B9,Data_Interim!O:O)</f>
        <v>-7724818.1399999997</v>
      </c>
      <c r="G9" s="15">
        <f>SUMIF(Data_Interim!$B:$B,$B9,Data_Interim!P:P)</f>
        <v>-7452482.4600000009</v>
      </c>
      <c r="H9" s="9" t="str">
        <f t="shared" si="0"/>
        <v>▼</v>
      </c>
      <c r="I9" s="15">
        <f t="shared" si="1"/>
        <v>272335.67999999877</v>
      </c>
      <c r="J9" s="14">
        <f t="shared" si="2"/>
        <v>-3.5254639664565435E-2</v>
      </c>
    </row>
    <row r="10" spans="2:15" x14ac:dyDescent="0.3">
      <c r="B10" s="184" t="s">
        <v>183</v>
      </c>
      <c r="C10" s="15">
        <f>SUMIF(Data_Interim!$B:$B,$B10,Data_Interim!L:L)</f>
        <v>-8418648</v>
      </c>
      <c r="D10" s="15">
        <f>SUMIF(Data_Interim!$B:$B,$B10,Data_Interim!M:M)</f>
        <v>-9321268</v>
      </c>
      <c r="E10" s="15">
        <f>SUMIF(Data_Interim!$B:$B,$B10,Data_Interim!N:N)</f>
        <v>-9132433</v>
      </c>
      <c r="F10" s="15">
        <f>SUMIF(Data_Interim!$B:$B,$B10,Data_Interim!O:O)</f>
        <v>-9376727.1637295075</v>
      </c>
      <c r="G10" s="15">
        <f>SUMIF(Data_Interim!$B:$B,$B10,Data_Interim!P:P)</f>
        <v>-9702906.1999999993</v>
      </c>
      <c r="H10" s="9" t="str">
        <f t="shared" si="0"/>
        <v>▲</v>
      </c>
      <c r="I10" s="15">
        <f t="shared" si="1"/>
        <v>-326179.03627049178</v>
      </c>
      <c r="J10" s="14"/>
    </row>
    <row r="11" spans="2:15" ht="15" thickBot="1" x14ac:dyDescent="0.35">
      <c r="B11" s="184" t="s">
        <v>184</v>
      </c>
      <c r="C11" s="15">
        <f>SUMIF(Data_Interim!$B:$B,$B11,Data_Interim!L:L)</f>
        <v>-1091729</v>
      </c>
      <c r="D11" s="15">
        <f>SUMIF(Data_Interim!$B:$B,$B11,Data_Interim!M:M)</f>
        <v>3636281</v>
      </c>
      <c r="E11" s="15">
        <f>SUMIF(Data_Interim!$B:$B,$B11,Data_Interim!N:N)</f>
        <v>2264307</v>
      </c>
      <c r="F11" s="15">
        <f>SUMIF(Data_Interim!$B:$B,$B11,Data_Interim!O:O)</f>
        <v>229095.81999999963</v>
      </c>
      <c r="G11" s="15">
        <f>SUMIF(Data_Interim!$B:$B,$B11,Data_Interim!P:P)</f>
        <v>282101.55</v>
      </c>
      <c r="H11" s="9" t="str">
        <f t="shared" si="0"/>
        <v>▲</v>
      </c>
      <c r="I11" s="15">
        <f t="shared" si="1"/>
        <v>53005.73000000036</v>
      </c>
      <c r="J11" s="14">
        <f t="shared" si="2"/>
        <v>0.23136925850502399</v>
      </c>
    </row>
    <row r="12" spans="2:15" ht="15" thickBot="1" x14ac:dyDescent="0.35">
      <c r="B12" s="185" t="s">
        <v>185</v>
      </c>
      <c r="C12" s="186">
        <f>SUM(C4:C11)</f>
        <v>-1441877</v>
      </c>
      <c r="D12" s="186">
        <f t="shared" ref="D12:G12" si="3">SUM(D4:D11)</f>
        <v>2691967</v>
      </c>
      <c r="E12" s="186">
        <f t="shared" si="3"/>
        <v>640284</v>
      </c>
      <c r="F12" s="186">
        <f t="shared" si="3"/>
        <v>2717637.6889128271</v>
      </c>
      <c r="G12" s="186">
        <f t="shared" si="3"/>
        <v>4306601.2884446522</v>
      </c>
      <c r="H12" s="178" t="str">
        <f t="shared" si="0"/>
        <v>▲</v>
      </c>
      <c r="I12" s="91">
        <f t="shared" si="1"/>
        <v>1588963.5995318252</v>
      </c>
      <c r="J12" s="179">
        <f t="shared" si="2"/>
        <v>0.5846855914658291</v>
      </c>
    </row>
    <row r="13" spans="2:15" x14ac:dyDescent="0.3">
      <c r="B13" s="184" t="s">
        <v>187</v>
      </c>
      <c r="C13" s="15">
        <f>SUMIF(Data_Interim!$B:$B,$B13,Data_Interim!L:L)</f>
        <v>23281</v>
      </c>
      <c r="D13" s="15">
        <f>SUMIF(Data_Interim!$B:$B,$B13,Data_Interim!M:M)</f>
        <v>2071</v>
      </c>
      <c r="E13" s="15">
        <f>SUMIF(Data_Interim!$B:$B,$B13,Data_Interim!N:N)</f>
        <v>3306</v>
      </c>
      <c r="F13" s="15">
        <f>SUMIF(Data_Interim!$B:$B,$B13,Data_Interim!O:O)</f>
        <v>7250.2200000000012</v>
      </c>
      <c r="G13" s="15">
        <f>SUMIF(Data_Interim!$B:$B,$B13,Data_Interim!P:P)</f>
        <v>59336.259999999995</v>
      </c>
      <c r="H13" s="9" t="str">
        <f t="shared" si="0"/>
        <v>▲</v>
      </c>
      <c r="I13" s="15">
        <f t="shared" si="1"/>
        <v>52086.039999999994</v>
      </c>
      <c r="J13" s="14">
        <f t="shared" si="2"/>
        <v>7.1840633801457034</v>
      </c>
    </row>
    <row r="14" spans="2:15" x14ac:dyDescent="0.3">
      <c r="B14" s="184" t="s">
        <v>189</v>
      </c>
      <c r="C14" s="15">
        <f>SUMIF(Data_Interim!$B:$B,$B14,Data_Interim!L:L)</f>
        <v>-1504333</v>
      </c>
      <c r="D14" s="15">
        <f>SUMIF(Data_Interim!$B:$B,$B14,Data_Interim!M:M)</f>
        <v>-1435827</v>
      </c>
      <c r="E14" s="15">
        <f>SUMIF(Data_Interim!$B:$B,$B14,Data_Interim!N:N)</f>
        <v>-2534524</v>
      </c>
      <c r="F14" s="15">
        <f>SUMIF(Data_Interim!$B:$B,$B14,Data_Interim!O:O)</f>
        <v>-1929050.3143503931</v>
      </c>
      <c r="G14" s="15">
        <f>SUMIF(Data_Interim!$B:$B,$B14,Data_Interim!P:P)</f>
        <v>-1680442.1335461452</v>
      </c>
      <c r="H14" s="9" t="str">
        <f t="shared" si="0"/>
        <v>▼</v>
      </c>
      <c r="I14" s="15">
        <f t="shared" si="1"/>
        <v>248608.18080424797</v>
      </c>
      <c r="J14" s="14">
        <f t="shared" si="2"/>
        <v>-0.12887594426896365</v>
      </c>
    </row>
    <row r="15" spans="2:15" ht="15" thickBot="1" x14ac:dyDescent="0.35">
      <c r="B15" s="184" t="s">
        <v>211</v>
      </c>
      <c r="C15" s="15">
        <f>SUMIF(Data_Interim!$B:$B,$B15,Data_Interim!L:L)</f>
        <v>599462</v>
      </c>
      <c r="D15" s="15">
        <f>SUMIF(Data_Interim!$B:$B,$B15,Data_Interim!M:M)</f>
        <v>-33120</v>
      </c>
      <c r="E15" s="15">
        <f>SUMIF(Data_Interim!$B:$B,$B15,Data_Interim!N:N)</f>
        <v>830663</v>
      </c>
      <c r="F15" s="15">
        <f>SUMIF(Data_Interim!$B:$B,$B15,Data_Interim!O:O)</f>
        <v>-2308339.3475190965</v>
      </c>
      <c r="G15" s="15">
        <f>SUMIF(Data_Interim!$B:$B,$B15,Data_Interim!P:P)</f>
        <v>2366338.7559664818</v>
      </c>
      <c r="H15" s="9" t="str">
        <f t="shared" si="0"/>
        <v>▲</v>
      </c>
      <c r="I15" s="15">
        <f t="shared" si="1"/>
        <v>4674678.1034855787</v>
      </c>
      <c r="J15" s="14">
        <f t="shared" si="2"/>
        <v>-2.0251260320583802</v>
      </c>
    </row>
    <row r="16" spans="2:15" ht="15" thickBot="1" x14ac:dyDescent="0.35">
      <c r="B16" s="91" t="s">
        <v>32</v>
      </c>
      <c r="C16" s="186">
        <f>SUM(C12:C15)</f>
        <v>-2323467</v>
      </c>
      <c r="D16" s="186">
        <f t="shared" ref="D16:G16" si="4">SUM(D12:D15)</f>
        <v>1225091</v>
      </c>
      <c r="E16" s="186">
        <f t="shared" si="4"/>
        <v>-1060271</v>
      </c>
      <c r="F16" s="186">
        <f t="shared" si="4"/>
        <v>-1512501.7529566623</v>
      </c>
      <c r="G16" s="186">
        <f t="shared" si="4"/>
        <v>5051834.1708649881</v>
      </c>
      <c r="H16" s="92" t="str">
        <f t="shared" si="0"/>
        <v>▲</v>
      </c>
      <c r="I16" s="91">
        <f t="shared" si="1"/>
        <v>6564335.9238216504</v>
      </c>
      <c r="J16" s="93">
        <f t="shared" si="2"/>
        <v>-4.3400517791067568</v>
      </c>
    </row>
    <row r="17" spans="2:21" ht="15" thickBot="1" x14ac:dyDescent="0.35">
      <c r="B17" s="15" t="s">
        <v>33</v>
      </c>
      <c r="C17" s="15">
        <f>SUMIF(Data_Interim!$B:$B,$B17,Data_Interim!L:L)</f>
        <v>-111734</v>
      </c>
      <c r="D17" s="15">
        <f>SUMIF(Data_Interim!$B:$B,$B17,Data_Interim!M:M)</f>
        <v>-18334</v>
      </c>
      <c r="E17" s="15">
        <f>SUMIF(Data_Interim!$B:$B,$B17,Data_Interim!N:N)</f>
        <v>-103743</v>
      </c>
      <c r="F17" s="15">
        <f>SUMIF(Data_Interim!$B:$B,$B17,Data_Interim!O:O)</f>
        <v>-129334</v>
      </c>
      <c r="G17" s="15">
        <f>SUMIF(Data_Interim!$B:$B,$B17,Data_Interim!P:P)</f>
        <v>-548478</v>
      </c>
      <c r="H17" s="46" t="str">
        <f t="shared" si="0"/>
        <v>▲</v>
      </c>
      <c r="I17" s="15">
        <f t="shared" si="1"/>
        <v>-419144</v>
      </c>
      <c r="J17" s="54">
        <f t="shared" si="2"/>
        <v>3.2407874186215535</v>
      </c>
    </row>
    <row r="18" spans="2:21" ht="15" thickBot="1" x14ac:dyDescent="0.35">
      <c r="B18" s="91" t="s">
        <v>215</v>
      </c>
      <c r="C18" s="186">
        <f t="shared" ref="C18" si="5">C16+C17</f>
        <v>-2435201</v>
      </c>
      <c r="D18" s="186">
        <f>D16+D17</f>
        <v>1206757</v>
      </c>
      <c r="E18" s="186">
        <f>E16+E17</f>
        <v>-1164014</v>
      </c>
      <c r="F18" s="186">
        <f>F16+F17</f>
        <v>-1641835.7529566623</v>
      </c>
      <c r="G18" s="186">
        <f t="shared" ref="G18" si="6">G16+G17</f>
        <v>4503356.1708649881</v>
      </c>
      <c r="H18" s="92" t="str">
        <f t="shared" si="0"/>
        <v>▲</v>
      </c>
      <c r="I18" s="91">
        <f t="shared" si="1"/>
        <v>6145191.9238216504</v>
      </c>
      <c r="J18" s="93">
        <f t="shared" si="2"/>
        <v>-3.74287861179489</v>
      </c>
    </row>
    <row r="19" spans="2:21" x14ac:dyDescent="0.3">
      <c r="B19" s="184" t="s">
        <v>246</v>
      </c>
      <c r="C19" s="15">
        <f>SUMIF(Data_Interim!$B:$B,$B19,Data_Interim!L:L)</f>
        <v>-2410090</v>
      </c>
      <c r="D19" s="15">
        <f>SUMIF(Data_Interim!$B:$B,$B19,Data_Interim!M:M)</f>
        <v>1234821</v>
      </c>
      <c r="E19" s="15">
        <f>SUMIF(Data_Interim!$B:$B,$B19,Data_Interim!N:N)</f>
        <v>-1144074</v>
      </c>
      <c r="F19" s="15">
        <f>SUMIF(Data_Interim!$B:$B,$B19,Data_Interim!O:O)</f>
        <v>-1644292.1513219369</v>
      </c>
      <c r="G19" s="15">
        <f>SUMIF(Data_Interim!$B:$B,$B19,Data_Interim!P:P)</f>
        <v>4505017.1291493308</v>
      </c>
      <c r="H19" s="9" t="str">
        <f t="shared" ref="H19:H24" si="7">IF(G19+F19&gt;0,IF(G19&gt;F19,"▲",IF(G19=F19,"▬","▼")),IF(G19&gt;F19,"▼",IF(G19=F19,"▬","▲")))</f>
        <v>▲</v>
      </c>
      <c r="I19" s="15">
        <f t="shared" ref="I19:I24" si="8">G19-F19</f>
        <v>6149309.2804712672</v>
      </c>
      <c r="J19" s="14">
        <f t="shared" ref="J19:J25" si="9">G19/F19-1</f>
        <v>-3.7397911773327506</v>
      </c>
    </row>
    <row r="20" spans="2:21" ht="15" thickBot="1" x14ac:dyDescent="0.35">
      <c r="B20" s="184" t="s">
        <v>247</v>
      </c>
      <c r="C20" s="15">
        <f>SUMIF(Data_Interim!$B:$B,$B20,Data_Interim!L:L)</f>
        <v>-25111</v>
      </c>
      <c r="D20" s="15">
        <f>SUMIF(Data_Interim!$B:$B,$B20,Data_Interim!M:M)</f>
        <v>-28064</v>
      </c>
      <c r="E20" s="15">
        <f>SUMIF(Data_Interim!$B:$B,$B20,Data_Interim!N:N)</f>
        <v>-19940</v>
      </c>
      <c r="F20" s="15">
        <f>SUMIF(Data_Interim!$B:$B,$B20,Data_Interim!O:O)</f>
        <v>2456.3983652742081</v>
      </c>
      <c r="G20" s="15">
        <f>SUMIF(Data_Interim!$B:$B,$B20,Data_Interim!P:P)</f>
        <v>-1660.958284342978</v>
      </c>
      <c r="H20" s="9" t="str">
        <f t="shared" si="7"/>
        <v>▼</v>
      </c>
      <c r="I20" s="15">
        <f t="shared" si="8"/>
        <v>-4117.3566496171861</v>
      </c>
      <c r="J20" s="14">
        <f t="shared" si="9"/>
        <v>-1.6761762700316587</v>
      </c>
    </row>
    <row r="21" spans="2:21" ht="15" thickBot="1" x14ac:dyDescent="0.35">
      <c r="B21" s="91" t="s">
        <v>219</v>
      </c>
      <c r="C21" s="186">
        <f>C19+C20</f>
        <v>-2435201</v>
      </c>
      <c r="D21" s="186">
        <f t="shared" ref="D21:G21" si="10">D19+D20</f>
        <v>1206757</v>
      </c>
      <c r="E21" s="186">
        <f t="shared" si="10"/>
        <v>-1164014</v>
      </c>
      <c r="F21" s="186">
        <f t="shared" si="10"/>
        <v>-1641835.7529566626</v>
      </c>
      <c r="G21" s="186">
        <f t="shared" si="10"/>
        <v>4503356.1708649881</v>
      </c>
      <c r="H21" s="92" t="str">
        <f t="shared" si="7"/>
        <v>▲</v>
      </c>
      <c r="I21" s="91">
        <f t="shared" si="8"/>
        <v>6145191.9238216504</v>
      </c>
      <c r="J21" s="93">
        <f t="shared" si="9"/>
        <v>-3.7428786117948896</v>
      </c>
    </row>
    <row r="22" spans="2:21" ht="15" thickBot="1" x14ac:dyDescent="0.35">
      <c r="B22" s="184" t="s">
        <v>221</v>
      </c>
      <c r="C22" s="15">
        <f>SUMIF(Data_Interim!$B:$B,$B22,Data_Interim!L:L)</f>
        <v>-77841.297554198449</v>
      </c>
      <c r="D22" s="15">
        <f>SUMIF(Data_Interim!$B:$B,$B22,Data_Interim!M:M)</f>
        <v>-53287.317013970001</v>
      </c>
      <c r="E22" s="15">
        <f>SUMIF(Data_Interim!$B:$B,$B22,Data_Interim!N:N)</f>
        <v>733</v>
      </c>
      <c r="F22" s="15">
        <f>SUMIF(Data_Interim!$B:$B,$B22,Data_Interim!O:O)</f>
        <v>-67</v>
      </c>
      <c r="G22" s="15">
        <f>SUMIF(Data_Interim!$B:$B,$B22,Data_Interim!P:P)</f>
        <v>85</v>
      </c>
      <c r="H22" s="9" t="str">
        <f t="shared" si="7"/>
        <v>▲</v>
      </c>
      <c r="I22" s="15">
        <f t="shared" si="8"/>
        <v>152</v>
      </c>
      <c r="J22" s="14">
        <f t="shared" si="9"/>
        <v>-2.2686567164179108</v>
      </c>
    </row>
    <row r="23" spans="2:21" ht="15" thickBot="1" x14ac:dyDescent="0.35">
      <c r="B23" s="91" t="s">
        <v>227</v>
      </c>
      <c r="C23" s="186">
        <f>C21+C22</f>
        <v>-2513042.2975541987</v>
      </c>
      <c r="D23" s="186">
        <f>D21+D22</f>
        <v>1153469.6829860299</v>
      </c>
      <c r="E23" s="186">
        <f t="shared" ref="E23:G23" si="11">E21+E22</f>
        <v>-1163281</v>
      </c>
      <c r="F23" s="186">
        <f t="shared" si="11"/>
        <v>-1641902.7529566626</v>
      </c>
      <c r="G23" s="186">
        <f t="shared" si="11"/>
        <v>4503441.1708649881</v>
      </c>
      <c r="H23" s="92" t="str">
        <f t="shared" si="7"/>
        <v>▲</v>
      </c>
      <c r="I23" s="91">
        <f t="shared" si="8"/>
        <v>6145343.9238216504</v>
      </c>
      <c r="J23" s="93">
        <f t="shared" si="9"/>
        <v>-3.7428184542326881</v>
      </c>
    </row>
    <row r="24" spans="2:21" x14ac:dyDescent="0.3">
      <c r="B24" s="184" t="s">
        <v>229</v>
      </c>
      <c r="C24" s="15">
        <f>SUMIF(Data_Interim!$B:$B,$B24,Data_Interim!L:L)</f>
        <v>-2487931.2975541987</v>
      </c>
      <c r="D24" s="15">
        <f>SUMIF(Data_Interim!$B:$B,$B24,Data_Interim!M:M)</f>
        <v>1181533.6829860299</v>
      </c>
      <c r="E24" s="15">
        <f>SUMIF(Data_Interim!$B:$B,$B24,Data_Interim!N:N)</f>
        <v>-1143341</v>
      </c>
      <c r="F24" s="15">
        <f>SUMIF(Data_Interim!$B:$B,$B24,Data_Interim!O:O)</f>
        <v>-1644359.1513219369</v>
      </c>
      <c r="G24" s="15">
        <f>SUMIF(Data_Interim!$B:$B,$B24,Data_Interim!P:P)</f>
        <v>4505102.1291493308</v>
      </c>
      <c r="H24" s="9" t="str">
        <f t="shared" si="7"/>
        <v>▲</v>
      </c>
      <c r="I24" s="15">
        <f t="shared" si="8"/>
        <v>6149461.2804712672</v>
      </c>
      <c r="J24" s="14">
        <f t="shared" si="9"/>
        <v>-3.7397312354345331</v>
      </c>
    </row>
    <row r="25" spans="2:21" x14ac:dyDescent="0.3">
      <c r="B25" s="184" t="s">
        <v>231</v>
      </c>
      <c r="C25" s="15">
        <f>SUMIF(Data_Interim!$B:$B,$B25,Data_Interim!L:L)</f>
        <v>-25111</v>
      </c>
      <c r="D25" s="15">
        <f>SUMIF(Data_Interim!$B:$B,$B25,Data_Interim!M:M)</f>
        <v>-28064</v>
      </c>
      <c r="E25" s="15">
        <f>SUMIF(Data_Interim!$B:$B,$B25,Data_Interim!N:N)</f>
        <v>-19940</v>
      </c>
      <c r="F25" s="15">
        <f>SUMIF(Data_Interim!$B:$B,$B25,Data_Interim!O:O)</f>
        <v>2456.3983652742081</v>
      </c>
      <c r="G25" s="15">
        <f>SUMIF(Data_Interim!$B:$B,$B25,Data_Interim!P:P)</f>
        <v>-1660.958284342978</v>
      </c>
      <c r="H25" s="9" t="str">
        <f t="shared" si="0"/>
        <v>▼</v>
      </c>
      <c r="I25" s="15">
        <f t="shared" si="1"/>
        <v>-4117.3566496171861</v>
      </c>
      <c r="J25" s="14">
        <f t="shared" si="9"/>
        <v>-1.6761762700316587</v>
      </c>
    </row>
    <row r="26" spans="2:21" x14ac:dyDescent="0.3">
      <c r="B26" s="18"/>
      <c r="C26" s="19"/>
      <c r="D26" s="19"/>
      <c r="E26" s="19"/>
      <c r="F26" s="19"/>
      <c r="G26" s="19"/>
      <c r="H26" s="9"/>
      <c r="I26" s="15"/>
      <c r="J26" s="14"/>
    </row>
    <row r="27" spans="2:21" ht="7.5" customHeight="1" x14ac:dyDescent="0.3"/>
    <row r="28" spans="2:21" ht="15.75" customHeight="1" x14ac:dyDescent="0.3">
      <c r="B28" s="95" t="s">
        <v>190</v>
      </c>
      <c r="L28" s="218" t="s">
        <v>191</v>
      </c>
      <c r="M28" s="218"/>
      <c r="N28" s="218"/>
      <c r="O28" s="218"/>
      <c r="P28" s="218"/>
    </row>
    <row r="29" spans="2:21" ht="6.75" customHeight="1" thickBot="1" x14ac:dyDescent="0.35"/>
    <row r="30" spans="2:21" s="80" customFormat="1" ht="15" thickBot="1" x14ac:dyDescent="0.35">
      <c r="B30" s="91"/>
      <c r="C30" s="182" t="str">
        <f>C3</f>
        <v>6 luni 2017</v>
      </c>
      <c r="D30" s="182" t="str">
        <f>D3</f>
        <v>6 luni 2018</v>
      </c>
      <c r="E30" s="182" t="str">
        <f>E3</f>
        <v>6 luni 2019</v>
      </c>
      <c r="F30" s="182" t="str">
        <f>F3</f>
        <v>6 luni 2020</v>
      </c>
      <c r="G30" s="182" t="str">
        <f>G3</f>
        <v>6 luni 2021</v>
      </c>
      <c r="H30" s="221" t="str">
        <f>CONCATENATE(Data_Interim!P3," vs. ",Data_Interim!O3)</f>
        <v>2021 vs. 2020</v>
      </c>
      <c r="I30" s="221"/>
      <c r="J30" s="221"/>
      <c r="L30" s="97">
        <f>Data_Interim!L3</f>
        <v>2017</v>
      </c>
      <c r="M30" s="97">
        <f>Data_Interim!M3</f>
        <v>2018</v>
      </c>
      <c r="N30" s="97">
        <f>Data_Interim!N3</f>
        <v>2019</v>
      </c>
      <c r="O30" s="97">
        <f>Data_Interim!O3</f>
        <v>2020</v>
      </c>
      <c r="P30" s="97">
        <f>Data_Interim!P3</f>
        <v>2021</v>
      </c>
      <c r="R30" s="49"/>
      <c r="S30" s="49"/>
      <c r="T30" s="49"/>
      <c r="U30" s="49"/>
    </row>
    <row r="31" spans="2:21" s="74" customFormat="1" x14ac:dyDescent="0.3">
      <c r="B31" s="74" t="s">
        <v>105</v>
      </c>
      <c r="C31" s="76">
        <f>SUMIF(Data_Interim!$B:$B,$B31,Data_Interim!L:L)</f>
        <v>97021407</v>
      </c>
      <c r="D31" s="76">
        <f>SUMIF(Data_Interim!$B:$B,$B31,Data_Interim!M:M)</f>
        <v>108637881</v>
      </c>
      <c r="E31" s="76">
        <f>SUMIF(Data_Interim!$B:$B,$B31,Data_Interim!N:N)</f>
        <v>104686106</v>
      </c>
      <c r="F31" s="76">
        <f>SUMIF(Data_Interim!$B:$B,$B31,Data_Interim!O:O)</f>
        <v>108676870.65568</v>
      </c>
      <c r="G31" s="76">
        <f>SUMIF(Data_Interim!$B:$B,$B31,Data_Interim!P:P)</f>
        <v>132813228.22619048</v>
      </c>
      <c r="H31" s="9" t="str">
        <f t="shared" ref="H31:H36" si="12">IF(G31+F31&gt;0,IF(G31&gt;F31,"▲",IF(G31=F31,"▬","▼")),IF(G31&gt;F31,"▼",IF(G31=F31,"▬","▲")))</f>
        <v>▲</v>
      </c>
      <c r="I31" s="13">
        <f t="shared" ref="I31:I36" si="13">G31-F31</f>
        <v>24136357.570510477</v>
      </c>
      <c r="J31" s="14">
        <f t="shared" ref="J31:J36" si="14">G31/F31-1</f>
        <v>0.22209286506768766</v>
      </c>
      <c r="K31" s="21"/>
      <c r="L31" s="77">
        <f>C31/C$36</f>
        <v>0.78080334372774451</v>
      </c>
      <c r="M31" s="77">
        <f t="shared" ref="L31:P35" si="15">D31/D$36</f>
        <v>0.84559509837940527</v>
      </c>
      <c r="N31" s="77">
        <f t="shared" si="15"/>
        <v>0.85953718001955359</v>
      </c>
      <c r="O31" s="77">
        <f t="shared" si="15"/>
        <v>0.85632739947588987</v>
      </c>
      <c r="P31" s="14">
        <f t="shared" si="15"/>
        <v>0.85721873313091557</v>
      </c>
      <c r="R31" s="21"/>
      <c r="S31" s="21"/>
      <c r="T31" s="21"/>
      <c r="U31" s="21"/>
    </row>
    <row r="32" spans="2:21" s="74" customFormat="1" x14ac:dyDescent="0.3">
      <c r="B32" s="74" t="s">
        <v>234</v>
      </c>
      <c r="C32" s="9">
        <f>SUMIF(Data_Interim!$B:$B,$B32,Data_Interim!L:L)</f>
        <v>8823198</v>
      </c>
      <c r="D32" s="9">
        <f>SUMIF(Data_Interim!$B:$B,$B32,Data_Interim!M:M)</f>
        <v>7065173</v>
      </c>
      <c r="E32" s="9">
        <f>SUMIF(Data_Interim!$B:$B,$B32,Data_Interim!N:N)</f>
        <v>6735548</v>
      </c>
      <c r="F32" s="9">
        <f>SUMIF(Data_Interim!$B:$B,$B32,Data_Interim!O:O)</f>
        <v>7283969.0175999999</v>
      </c>
      <c r="G32" s="9">
        <f>SUMIF(Data_Interim!$B:$B,$B32,Data_Interim!P:P)</f>
        <v>8418570.1492629666</v>
      </c>
      <c r="H32" s="9" t="str">
        <f t="shared" si="12"/>
        <v>▲</v>
      </c>
      <c r="I32" s="13">
        <f t="shared" si="13"/>
        <v>1134601.1316629667</v>
      </c>
      <c r="J32" s="14">
        <f>G32/F32-1</f>
        <v>0.15576688051822707</v>
      </c>
      <c r="K32" s="21"/>
      <c r="L32" s="78">
        <f t="shared" si="15"/>
        <v>7.1006829459522761E-2</v>
      </c>
      <c r="M32" s="78">
        <f t="shared" si="15"/>
        <v>5.4992564315595571E-2</v>
      </c>
      <c r="N32" s="78">
        <f t="shared" si="15"/>
        <v>5.5302982936497269E-2</v>
      </c>
      <c r="O32" s="78">
        <f t="shared" si="15"/>
        <v>5.7394569875557591E-2</v>
      </c>
      <c r="P32" s="14">
        <f t="shared" si="15"/>
        <v>5.4336124002909027E-2</v>
      </c>
      <c r="R32" s="21"/>
      <c r="S32" s="21"/>
      <c r="T32" s="21"/>
      <c r="U32" s="21"/>
    </row>
    <row r="33" spans="2:21" s="74" customFormat="1" x14ac:dyDescent="0.3">
      <c r="B33" s="74" t="s">
        <v>38</v>
      </c>
      <c r="C33" s="9">
        <f>SUMIF(Data_Interim!$B:$B,$B33,Data_Interim!L:L)</f>
        <v>1994286</v>
      </c>
      <c r="D33" s="9">
        <f>SUMIF(Data_Interim!$B:$B,$B33,Data_Interim!M:M)</f>
        <v>1979599</v>
      </c>
      <c r="E33" s="9">
        <f>SUMIF(Data_Interim!$B:$B,$B33,Data_Interim!N:N)</f>
        <v>1193233</v>
      </c>
      <c r="F33" s="9">
        <f>SUMIF(Data_Interim!$B:$B,$B33,Data_Interim!O:O)</f>
        <v>2287854.58</v>
      </c>
      <c r="G33" s="9">
        <f>SUMIF(Data_Interim!$B:$B,$B33,Data_Interim!P:P)</f>
        <v>1299563.94092437</v>
      </c>
      <c r="H33" s="9" t="str">
        <f t="shared" si="12"/>
        <v>▼</v>
      </c>
      <c r="I33" s="13">
        <f t="shared" si="13"/>
        <v>-988290.63907563011</v>
      </c>
      <c r="J33" s="14">
        <f t="shared" si="14"/>
        <v>-0.4319726645719022</v>
      </c>
      <c r="K33" s="21"/>
      <c r="L33" s="78">
        <f t="shared" si="15"/>
        <v>1.6049501087419076E-2</v>
      </c>
      <c r="M33" s="78">
        <f t="shared" si="15"/>
        <v>1.5408430243192725E-2</v>
      </c>
      <c r="N33" s="78">
        <f t="shared" si="15"/>
        <v>9.7971752615029165E-3</v>
      </c>
      <c r="O33" s="78">
        <f t="shared" si="15"/>
        <v>1.8027318518192989E-2</v>
      </c>
      <c r="P33" s="14">
        <f t="shared" si="15"/>
        <v>8.3877981880281418E-3</v>
      </c>
      <c r="R33" s="21"/>
      <c r="S33" s="21"/>
      <c r="T33" s="21"/>
      <c r="U33" s="21"/>
    </row>
    <row r="34" spans="2:21" s="74" customFormat="1" x14ac:dyDescent="0.3">
      <c r="B34" s="74" t="s">
        <v>39</v>
      </c>
      <c r="C34" s="9">
        <f>SUMIF(Data_Interim!$B:$B,$B34,Data_Interim!L:L)</f>
        <v>16084214</v>
      </c>
      <c r="D34" s="9">
        <f>SUMIF(Data_Interim!$B:$B,$B34,Data_Interim!M:M)</f>
        <v>10441771</v>
      </c>
      <c r="E34" s="9">
        <f>SUMIF(Data_Interim!$B:$B,$B34,Data_Interim!N:N)</f>
        <v>8923021</v>
      </c>
      <c r="F34" s="9">
        <f>SUMIF(Data_Interim!$B:$B,$B34,Data_Interim!O:O)</f>
        <v>8339966.5999999959</v>
      </c>
      <c r="G34" s="9">
        <f>SUMIF(Data_Interim!$B:$B,$B34,Data_Interim!P:P)</f>
        <v>12274974.889075637</v>
      </c>
      <c r="H34" s="9" t="str">
        <f t="shared" si="12"/>
        <v>▲</v>
      </c>
      <c r="I34" s="13">
        <f t="shared" si="13"/>
        <v>3935008.289075641</v>
      </c>
      <c r="J34" s="14">
        <f t="shared" si="14"/>
        <v>0.47182542542504224</v>
      </c>
      <c r="K34" s="21"/>
      <c r="L34" s="78">
        <f t="shared" si="15"/>
        <v>0.12944161974926419</v>
      </c>
      <c r="M34" s="78">
        <f t="shared" si="15"/>
        <v>8.1274692535656334E-2</v>
      </c>
      <c r="N34" s="78">
        <f t="shared" si="15"/>
        <v>7.3263478800092693E-2</v>
      </c>
      <c r="O34" s="78">
        <f t="shared" si="15"/>
        <v>6.5715380533185347E-2</v>
      </c>
      <c r="P34" s="14">
        <f t="shared" si="15"/>
        <v>7.9226584310614898E-2</v>
      </c>
      <c r="R34" s="21"/>
      <c r="S34" s="21"/>
      <c r="T34" s="21"/>
      <c r="U34" s="21"/>
    </row>
    <row r="35" spans="2:21" s="74" customFormat="1" ht="15" thickBot="1" x14ac:dyDescent="0.35">
      <c r="B35" s="74" t="s">
        <v>40</v>
      </c>
      <c r="C35" s="9">
        <f>SUMIF(Data_Interim!$B:$B,$B35,Data_Interim!L:L)</f>
        <v>335337</v>
      </c>
      <c r="D35" s="9">
        <f>SUMIF(Data_Interim!$B:$B,$B35,Data_Interim!M:M)</f>
        <v>350636</v>
      </c>
      <c r="E35" s="9">
        <f>SUMIF(Data_Interim!$B:$B,$B35,Data_Interim!N:N)</f>
        <v>255667</v>
      </c>
      <c r="F35" s="9">
        <f>SUMIF(Data_Interim!$B:$B,$B35,Data_Interim!O:O)</f>
        <v>321760</v>
      </c>
      <c r="G35" s="9">
        <f>SUMIF(Data_Interim!$B:$B,$B35,Data_Interim!P:P)</f>
        <v>128713.89999999991</v>
      </c>
      <c r="H35" s="9" t="str">
        <f t="shared" si="12"/>
        <v>▼</v>
      </c>
      <c r="I35" s="13">
        <f t="shared" si="13"/>
        <v>-193046.10000000009</v>
      </c>
      <c r="J35" s="14">
        <f t="shared" si="14"/>
        <v>-0.59996923172550998</v>
      </c>
      <c r="K35" s="21"/>
      <c r="L35" s="78">
        <f t="shared" si="15"/>
        <v>2.6987059760494986E-3</v>
      </c>
      <c r="M35" s="78">
        <f t="shared" si="15"/>
        <v>2.729214526150056E-3</v>
      </c>
      <c r="N35" s="78">
        <f t="shared" si="15"/>
        <v>2.0991829823535438E-3</v>
      </c>
      <c r="O35" s="78">
        <f t="shared" si="15"/>
        <v>2.5353315971742294E-3</v>
      </c>
      <c r="P35" s="14">
        <f t="shared" si="15"/>
        <v>8.3076036753228515E-4</v>
      </c>
      <c r="R35" s="21"/>
      <c r="S35" s="21"/>
      <c r="T35" s="21"/>
      <c r="U35" s="21"/>
    </row>
    <row r="36" spans="2:21" s="21" customFormat="1" ht="15" thickBot="1" x14ac:dyDescent="0.35">
      <c r="B36" s="12" t="s">
        <v>36</v>
      </c>
      <c r="C36" s="16">
        <f>SUM(C31:C35)</f>
        <v>124258442</v>
      </c>
      <c r="D36" s="16">
        <f t="shared" ref="D36:G36" si="16">SUM(D31:D35)</f>
        <v>128475060</v>
      </c>
      <c r="E36" s="16">
        <f t="shared" si="16"/>
        <v>121793575</v>
      </c>
      <c r="F36" s="16">
        <f t="shared" si="16"/>
        <v>126910420.85327999</v>
      </c>
      <c r="G36" s="16">
        <f t="shared" si="16"/>
        <v>154935051.10545346</v>
      </c>
      <c r="H36" s="46" t="str">
        <f t="shared" si="12"/>
        <v>▲</v>
      </c>
      <c r="I36" s="36">
        <f t="shared" si="13"/>
        <v>28024630.252173468</v>
      </c>
      <c r="J36" s="17">
        <f t="shared" si="14"/>
        <v>0.22082213630488612</v>
      </c>
      <c r="L36" s="75">
        <f>SUM(L31:L35)</f>
        <v>1</v>
      </c>
      <c r="M36" s="75">
        <f t="shared" ref="M36:P36" si="17">SUM(M31:M35)</f>
        <v>1</v>
      </c>
      <c r="N36" s="75">
        <f t="shared" si="17"/>
        <v>1</v>
      </c>
      <c r="O36" s="75">
        <f t="shared" si="17"/>
        <v>1</v>
      </c>
      <c r="P36" s="75">
        <f t="shared" si="17"/>
        <v>0.99999999999999989</v>
      </c>
    </row>
    <row r="37" spans="2:21" s="20" customFormat="1" ht="15.75" customHeight="1" x14ac:dyDescent="0.3">
      <c r="B37" s="25"/>
      <c r="C37" s="187">
        <f>C36-C4</f>
        <v>0</v>
      </c>
      <c r="D37" s="187">
        <f>D36-D4</f>
        <v>0</v>
      </c>
      <c r="E37" s="187">
        <f>E36-E4</f>
        <v>0</v>
      </c>
      <c r="F37" s="187">
        <f>F36-F4</f>
        <v>0</v>
      </c>
      <c r="G37" s="187">
        <f>G36-G4</f>
        <v>0</v>
      </c>
      <c r="H37" s="47"/>
      <c r="I37" s="26"/>
      <c r="J37" s="27"/>
      <c r="O37" s="28"/>
      <c r="R37" s="49"/>
      <c r="S37" s="49"/>
      <c r="T37" s="49"/>
      <c r="U37" s="49"/>
    </row>
    <row r="38" spans="2:21" x14ac:dyDescent="0.3">
      <c r="B38" s="96" t="s">
        <v>192</v>
      </c>
      <c r="J38" s="180"/>
    </row>
    <row r="39" spans="2:21" ht="15" thickBot="1" x14ac:dyDescent="0.35"/>
    <row r="40" spans="2:21" ht="15" thickBot="1" x14ac:dyDescent="0.35">
      <c r="B40" s="91" t="s">
        <v>0</v>
      </c>
      <c r="C40" s="182" t="str">
        <f t="shared" ref="C40:H40" si="18">C3</f>
        <v>6 luni 2017</v>
      </c>
      <c r="D40" s="182" t="str">
        <f t="shared" si="18"/>
        <v>6 luni 2018</v>
      </c>
      <c r="E40" s="182" t="str">
        <f t="shared" si="18"/>
        <v>6 luni 2019</v>
      </c>
      <c r="F40" s="182" t="str">
        <f t="shared" si="18"/>
        <v>6 luni 2020</v>
      </c>
      <c r="G40" s="182" t="str">
        <f t="shared" si="18"/>
        <v>6 luni 2021</v>
      </c>
      <c r="H40" s="221" t="str">
        <f t="shared" si="18"/>
        <v>2021 vs. 2020</v>
      </c>
      <c r="I40" s="221"/>
      <c r="J40" s="221"/>
    </row>
    <row r="41" spans="2:21" x14ac:dyDescent="0.3">
      <c r="B41" s="181" t="s">
        <v>34</v>
      </c>
      <c r="C41" s="9">
        <f>SUMIF(Data_Interim!$B:$B,$B41,Data_Interim!L:L)</f>
        <v>983884</v>
      </c>
      <c r="D41" s="9">
        <f>SUMIF(Data_Interim!$B:$B,$B41,Data_Interim!M:M)</f>
        <v>825747</v>
      </c>
      <c r="E41" s="9">
        <f>SUMIF(Data_Interim!$B:$B,$B41,Data_Interim!N:N)</f>
        <v>919383</v>
      </c>
      <c r="F41" s="9">
        <f>SUMIF(Data_Interim!$B:$B,$B41,Data_Interim!O:O)</f>
        <v>678966.90999999992</v>
      </c>
      <c r="G41" s="9">
        <f>SUMIF(Data_Interim!$B:$B,$B41,Data_Interim!P:P)</f>
        <v>1037527.1699999998</v>
      </c>
      <c r="H41" s="9" t="str">
        <f t="shared" ref="H41:H43" si="19">IF(G41+F41&gt;0,IF(G41&gt;F41,"▲",IF(G41=F41,"▬","▼")),IF(G41&gt;F41,"▼",IF(G41=F41,"▬","▲")))</f>
        <v>▲</v>
      </c>
      <c r="I41" s="22">
        <f t="shared" ref="I41:I43" si="20">G41-F41</f>
        <v>358560.25999999989</v>
      </c>
      <c r="J41" s="14">
        <f t="shared" ref="J41:J43" si="21">G41/F41-1</f>
        <v>0.52809681108023354</v>
      </c>
    </row>
    <row r="42" spans="2:21" ht="15" thickBot="1" x14ac:dyDescent="0.35">
      <c r="B42" s="181" t="s">
        <v>79</v>
      </c>
      <c r="C42" s="9">
        <f>SUMIF(Data_Interim!$B:$B,$B42,Data_Interim!L:L)</f>
        <v>1975169</v>
      </c>
      <c r="D42" s="9">
        <f>SUMIF(Data_Interim!$B:$B,$B42,Data_Interim!M:M)</f>
        <v>2007500</v>
      </c>
      <c r="E42" s="9">
        <f>SUMIF(Data_Interim!$B:$B,$B42,Data_Interim!N:N)</f>
        <v>2076082</v>
      </c>
      <c r="F42" s="9">
        <f>SUMIF(Data_Interim!$B:$B,$B42,Data_Interim!O:O)</f>
        <v>1907751.13</v>
      </c>
      <c r="G42" s="9">
        <f>SUMIF(Data_Interim!$B:$B,$B42,Data_Interim!P:P)</f>
        <v>1872845.4</v>
      </c>
      <c r="H42" s="9" t="str">
        <f t="shared" si="19"/>
        <v>▼</v>
      </c>
      <c r="I42" s="22">
        <f t="shared" si="20"/>
        <v>-34905.729999999981</v>
      </c>
      <c r="J42" s="14">
        <f t="shared" si="21"/>
        <v>-1.829679429936959E-2</v>
      </c>
    </row>
    <row r="43" spans="2:21" ht="15" thickBot="1" x14ac:dyDescent="0.35">
      <c r="B43" s="12" t="s">
        <v>36</v>
      </c>
      <c r="C43" s="16">
        <f>C41+C42</f>
        <v>2959053</v>
      </c>
      <c r="D43" s="16">
        <f t="shared" ref="D43:G43" si="22">D41+D42</f>
        <v>2833247</v>
      </c>
      <c r="E43" s="16">
        <f t="shared" si="22"/>
        <v>2995465</v>
      </c>
      <c r="F43" s="16">
        <f t="shared" si="22"/>
        <v>2586718.04</v>
      </c>
      <c r="G43" s="16">
        <f t="shared" si="22"/>
        <v>2910372.57</v>
      </c>
      <c r="H43" s="46" t="str">
        <f t="shared" si="19"/>
        <v>▲</v>
      </c>
      <c r="I43" s="36">
        <f t="shared" si="20"/>
        <v>323654.5299999998</v>
      </c>
      <c r="J43" s="17">
        <f t="shared" si="21"/>
        <v>0.12512168894913644</v>
      </c>
    </row>
    <row r="44" spans="2:21" x14ac:dyDescent="0.3">
      <c r="C44" s="188">
        <f>C43-C5</f>
        <v>0</v>
      </c>
      <c r="D44" s="188">
        <f>D43-D5</f>
        <v>0</v>
      </c>
      <c r="E44" s="188">
        <f>E43-E5</f>
        <v>0</v>
      </c>
      <c r="F44" s="188">
        <f>F43-F5</f>
        <v>0</v>
      </c>
      <c r="G44" s="188">
        <f>G43-G5</f>
        <v>0</v>
      </c>
    </row>
    <row r="45" spans="2:21" x14ac:dyDescent="0.3">
      <c r="B45" s="96" t="s">
        <v>50</v>
      </c>
      <c r="C45" s="67"/>
      <c r="D45" s="67"/>
      <c r="E45" s="67"/>
      <c r="F45" s="67"/>
      <c r="G45" s="67"/>
      <c r="L45" s="218" t="s">
        <v>152</v>
      </c>
      <c r="M45" s="218"/>
      <c r="N45" s="218"/>
      <c r="O45" s="218"/>
      <c r="P45" s="218"/>
    </row>
    <row r="46" spans="2:21" ht="15" thickBot="1" x14ac:dyDescent="0.35"/>
    <row r="47" spans="2:21" ht="15" thickBot="1" x14ac:dyDescent="0.35">
      <c r="B47" s="91" t="s">
        <v>0</v>
      </c>
      <c r="C47" s="182" t="str">
        <f>C3</f>
        <v>6 luni 2017</v>
      </c>
      <c r="D47" s="182" t="str">
        <f>D3</f>
        <v>6 luni 2018</v>
      </c>
      <c r="E47" s="182" t="str">
        <f>E3</f>
        <v>6 luni 2019</v>
      </c>
      <c r="F47" s="182" t="str">
        <f>F3</f>
        <v>6 luni 2020</v>
      </c>
      <c r="G47" s="182" t="str">
        <f>G3</f>
        <v>6 luni 2021</v>
      </c>
      <c r="H47" s="221" t="str">
        <f>CONCATENATE(Data_Interim!P3," vs. ",Data_Interim!O3)</f>
        <v>2021 vs. 2020</v>
      </c>
      <c r="I47" s="221"/>
      <c r="J47" s="221"/>
      <c r="L47" s="97">
        <f>Data_Interim!L3</f>
        <v>2017</v>
      </c>
      <c r="M47" s="97">
        <f>Data_Interim!M3</f>
        <v>2018</v>
      </c>
      <c r="N47" s="97">
        <f>Data_Interim!N3</f>
        <v>2019</v>
      </c>
      <c r="O47" s="97">
        <f>Data_Interim!O3</f>
        <v>2020</v>
      </c>
      <c r="P47" s="97">
        <f>Data_Interim!P3</f>
        <v>2021</v>
      </c>
    </row>
    <row r="48" spans="2:21" x14ac:dyDescent="0.3">
      <c r="B48" s="181" t="s">
        <v>176</v>
      </c>
      <c r="C48" s="9">
        <f>SUMIF(Data_Interim!$B:$B,$B48,Data_Interim!L:L)</f>
        <v>124258442</v>
      </c>
      <c r="D48" s="9">
        <f>SUMIF(Data_Interim!$B:$B,$B48,Data_Interim!M:M)</f>
        <v>128475060</v>
      </c>
      <c r="E48" s="9">
        <f>SUMIF(Data_Interim!$B:$B,$B48,Data_Interim!N:N)</f>
        <v>121793575</v>
      </c>
      <c r="F48" s="9">
        <f>SUMIF(Data_Interim!$B:$B,$B48,Data_Interim!O:O)</f>
        <v>126910420.85327999</v>
      </c>
      <c r="G48" s="9">
        <f>SUMIF(Data_Interim!$B:$B,$B48,Data_Interim!P:P)</f>
        <v>154935051.10545346</v>
      </c>
      <c r="H48" s="9" t="str">
        <f t="shared" ref="H48" si="23">IF(G48+F48&gt;0,IF(G48&gt;F48,"▲",IF(G48=F48,"▬","▼")),IF(G48&gt;F48,"▼",IF(G48=F48,"▬","▲")))</f>
        <v>▲</v>
      </c>
      <c r="I48" s="22">
        <f t="shared" ref="I48" si="24">G48-F48</f>
        <v>28024630.252173468</v>
      </c>
      <c r="J48" s="14">
        <f t="shared" ref="J48" si="25">G48/F48-1</f>
        <v>0.22082213630488612</v>
      </c>
      <c r="L48" s="77">
        <f>C48/C$50</f>
        <v>0.99214415739931239</v>
      </c>
      <c r="M48" s="77">
        <f t="shared" ref="M48:M49" si="26">D48/D$50</f>
        <v>0.99361375215546799</v>
      </c>
      <c r="N48" s="77">
        <f t="shared" ref="N48:N49" si="27">E48/E$50</f>
        <v>0.99250785723867885</v>
      </c>
      <c r="O48" s="77">
        <f t="shared" ref="O48:O49" si="28">F48/F$50</f>
        <v>0.99467850013310122</v>
      </c>
      <c r="P48" s="78">
        <f t="shared" ref="P48:P49" si="29">G48/G$50</f>
        <v>0.99334801551996099</v>
      </c>
    </row>
    <row r="49" spans="2:16" ht="15" thickBot="1" x14ac:dyDescent="0.35">
      <c r="B49" s="181" t="s">
        <v>34</v>
      </c>
      <c r="C49" s="9">
        <f>SUMIF(Data_Interim!$B:$B,$B49,Data_Interim!L:L)</f>
        <v>983884</v>
      </c>
      <c r="D49" s="9">
        <f>SUMIF(Data_Interim!$B:$B,$B49,Data_Interim!M:M)</f>
        <v>825747</v>
      </c>
      <c r="E49" s="9">
        <f>SUMIF(Data_Interim!$B:$B,$B49,Data_Interim!N:N)</f>
        <v>919383</v>
      </c>
      <c r="F49" s="9">
        <f>SUMIF(Data_Interim!$B:$B,$B49,Data_Interim!O:O)</f>
        <v>678966.90999999992</v>
      </c>
      <c r="G49" s="9">
        <f>SUMIF(Data_Interim!$B:$B,$B49,Data_Interim!P:P)</f>
        <v>1037527.1699999998</v>
      </c>
      <c r="H49" s="9" t="str">
        <f t="shared" ref="H49:H50" si="30">IF(G49+F49&gt;0,IF(G49&gt;F49,"▲",IF(G49=F49,"▬","▼")),IF(G49&gt;F49,"▼",IF(G49=F49,"▬","▲")))</f>
        <v>▲</v>
      </c>
      <c r="I49" s="22">
        <f t="shared" ref="I49:I50" si="31">G49-F49</f>
        <v>358560.25999999989</v>
      </c>
      <c r="J49" s="14">
        <f t="shared" ref="J49:J50" si="32">G49/F49-1</f>
        <v>0.52809681108023354</v>
      </c>
      <c r="L49" s="78">
        <f t="shared" ref="L49" si="33">C49/C$50</f>
        <v>7.8558426006875657E-3</v>
      </c>
      <c r="M49" s="78">
        <f t="shared" si="26"/>
        <v>6.386247844532014E-3</v>
      </c>
      <c r="N49" s="78">
        <f t="shared" si="27"/>
        <v>7.4921427613210984E-3</v>
      </c>
      <c r="O49" s="78">
        <f t="shared" si="28"/>
        <v>5.3214998668988473E-3</v>
      </c>
      <c r="P49" s="78">
        <f t="shared" si="29"/>
        <v>6.6519844800390984E-3</v>
      </c>
    </row>
    <row r="50" spans="2:16" ht="15" thickBot="1" x14ac:dyDescent="0.35">
      <c r="B50" s="12" t="s">
        <v>110</v>
      </c>
      <c r="C50" s="16">
        <f>C48+C49</f>
        <v>125242326</v>
      </c>
      <c r="D50" s="16">
        <f t="shared" ref="D50:G50" si="34">D48+D49</f>
        <v>129300807</v>
      </c>
      <c r="E50" s="16">
        <f t="shared" si="34"/>
        <v>122712958</v>
      </c>
      <c r="F50" s="16">
        <f t="shared" si="34"/>
        <v>127589387.76327999</v>
      </c>
      <c r="G50" s="16">
        <f t="shared" si="34"/>
        <v>155972578.27545345</v>
      </c>
      <c r="H50" s="46" t="str">
        <f t="shared" si="30"/>
        <v>▲</v>
      </c>
      <c r="I50" s="23">
        <f t="shared" si="31"/>
        <v>28383190.512173459</v>
      </c>
      <c r="J50" s="17">
        <f t="shared" si="32"/>
        <v>0.22245729844580464</v>
      </c>
      <c r="L50" s="75">
        <f>L48+L49</f>
        <v>1</v>
      </c>
      <c r="M50" s="75">
        <f t="shared" ref="M50:P50" si="35">M48+M49</f>
        <v>1</v>
      </c>
      <c r="N50" s="75">
        <f t="shared" si="35"/>
        <v>1</v>
      </c>
      <c r="O50" s="75">
        <f t="shared" si="35"/>
        <v>1</v>
      </c>
      <c r="P50" s="75">
        <f t="shared" si="35"/>
        <v>1</v>
      </c>
    </row>
    <row r="51" spans="2:16" x14ac:dyDescent="0.3">
      <c r="B51" s="189"/>
      <c r="C51" s="190"/>
      <c r="D51" s="190"/>
      <c r="E51" s="190"/>
      <c r="F51" s="190"/>
      <c r="G51" s="190"/>
      <c r="H51" s="191"/>
      <c r="I51" s="192"/>
      <c r="J51" s="193"/>
      <c r="L51" s="194"/>
      <c r="M51" s="194"/>
      <c r="N51" s="194"/>
      <c r="O51" s="194"/>
      <c r="P51" s="194"/>
    </row>
    <row r="52" spans="2:16" x14ac:dyDescent="0.3">
      <c r="B52" s="24" t="s">
        <v>41</v>
      </c>
    </row>
    <row r="54" spans="2:16" x14ac:dyDescent="0.3">
      <c r="C54" s="67"/>
      <c r="D54" s="67"/>
      <c r="E54" s="67"/>
      <c r="F54" s="67"/>
      <c r="G54" s="67"/>
    </row>
    <row r="55" spans="2:16" x14ac:dyDescent="0.3">
      <c r="C55" s="67"/>
      <c r="D55" s="67"/>
      <c r="E55" s="67"/>
      <c r="F55" s="67"/>
      <c r="G55" s="67"/>
    </row>
    <row r="56" spans="2:16" x14ac:dyDescent="0.3"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</row>
    <row r="57" spans="2:16" x14ac:dyDescent="0.3"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</row>
    <row r="58" spans="2:16" x14ac:dyDescent="0.3"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</row>
    <row r="59" spans="2:16" x14ac:dyDescent="0.3"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</row>
    <row r="60" spans="2:16" x14ac:dyDescent="0.3"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</row>
    <row r="61" spans="2:16" x14ac:dyDescent="0.3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</row>
    <row r="62" spans="2:16" x14ac:dyDescent="0.3"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</row>
    <row r="63" spans="2:16" x14ac:dyDescent="0.3"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</row>
    <row r="64" spans="2:16" x14ac:dyDescent="0.3"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</row>
    <row r="65" spans="3:16" x14ac:dyDescent="0.3"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</row>
    <row r="66" spans="3:16" x14ac:dyDescent="0.3"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</row>
    <row r="67" spans="3:16" x14ac:dyDescent="0.3"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</row>
    <row r="68" spans="3:16" x14ac:dyDescent="0.3"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</row>
    <row r="69" spans="3:16" x14ac:dyDescent="0.3"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</row>
    <row r="70" spans="3:16" x14ac:dyDescent="0.3"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</row>
    <row r="71" spans="3:16" x14ac:dyDescent="0.3"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</row>
    <row r="72" spans="3:16" x14ac:dyDescent="0.3"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</row>
    <row r="73" spans="3:16" x14ac:dyDescent="0.3"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</row>
    <row r="74" spans="3:16" x14ac:dyDescent="0.3"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</row>
    <row r="75" spans="3:16" x14ac:dyDescent="0.3"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</row>
    <row r="76" spans="3:16" x14ac:dyDescent="0.3"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</row>
    <row r="77" spans="3:16" x14ac:dyDescent="0.3"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</row>
    <row r="78" spans="3:16" x14ac:dyDescent="0.3"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</row>
    <row r="79" spans="3:16" x14ac:dyDescent="0.3"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</row>
    <row r="80" spans="3:16" x14ac:dyDescent="0.3"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</row>
    <row r="81" spans="3:16" x14ac:dyDescent="0.3"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</row>
    <row r="82" spans="3:16" x14ac:dyDescent="0.3"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</row>
    <row r="83" spans="3:16" x14ac:dyDescent="0.3"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</row>
    <row r="84" spans="3:16" x14ac:dyDescent="0.3"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</row>
    <row r="85" spans="3:16" x14ac:dyDescent="0.3"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</row>
    <row r="86" spans="3:16" x14ac:dyDescent="0.3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</row>
    <row r="87" spans="3:16" x14ac:dyDescent="0.3"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</row>
    <row r="88" spans="3:16" x14ac:dyDescent="0.3"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</row>
    <row r="89" spans="3:16" x14ac:dyDescent="0.3"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</row>
    <row r="90" spans="3:16" x14ac:dyDescent="0.3"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</row>
    <row r="91" spans="3:16" x14ac:dyDescent="0.3"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</row>
    <row r="92" spans="3:16" x14ac:dyDescent="0.3"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</row>
    <row r="93" spans="3:16" x14ac:dyDescent="0.3"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</row>
    <row r="94" spans="3:16" x14ac:dyDescent="0.3"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</row>
    <row r="95" spans="3:16" x14ac:dyDescent="0.3"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</row>
    <row r="96" spans="3:16" x14ac:dyDescent="0.3"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</row>
    <row r="97" spans="3:16" x14ac:dyDescent="0.3"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</row>
    <row r="98" spans="3:16" x14ac:dyDescent="0.3"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</row>
    <row r="99" spans="3:16" x14ac:dyDescent="0.3"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</row>
    <row r="100" spans="3:16" x14ac:dyDescent="0.3"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</row>
    <row r="101" spans="3:16" x14ac:dyDescent="0.3"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</row>
    <row r="102" spans="3:16" x14ac:dyDescent="0.3"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</row>
    <row r="103" spans="3:16" x14ac:dyDescent="0.3"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</row>
    <row r="104" spans="3:16" x14ac:dyDescent="0.3"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</row>
  </sheetData>
  <mergeCells count="6">
    <mergeCell ref="H3:J3"/>
    <mergeCell ref="H30:J30"/>
    <mergeCell ref="L28:P28"/>
    <mergeCell ref="H47:J47"/>
    <mergeCell ref="L45:P45"/>
    <mergeCell ref="H40:J40"/>
  </mergeCells>
  <conditionalFormatting sqref="H4:H18 H31:H35 H26">
    <cfRule type="expression" dxfId="37" priority="58">
      <formula>G4=F4</formula>
    </cfRule>
    <cfRule type="expression" dxfId="36" priority="59">
      <formula>G4&lt;F4</formula>
    </cfRule>
    <cfRule type="expression" dxfId="35" priority="60">
      <formula>G4&gt;F4</formula>
    </cfRule>
  </conditionalFormatting>
  <conditionalFormatting sqref="H36">
    <cfRule type="expression" dxfId="34" priority="52">
      <formula>G36=F36</formula>
    </cfRule>
    <cfRule type="expression" dxfId="33" priority="53">
      <formula>G36&lt;F36</formula>
    </cfRule>
    <cfRule type="expression" dxfId="32" priority="54">
      <formula>G36&gt;F36</formula>
    </cfRule>
  </conditionalFormatting>
  <conditionalFormatting sqref="H48">
    <cfRule type="expression" dxfId="31" priority="43">
      <formula>G48=F48</formula>
    </cfRule>
    <cfRule type="expression" dxfId="30" priority="44">
      <formula>G48&lt;F48</formula>
    </cfRule>
    <cfRule type="expression" dxfId="29" priority="45">
      <formula>G48&gt;F48</formula>
    </cfRule>
  </conditionalFormatting>
  <conditionalFormatting sqref="H49">
    <cfRule type="expression" dxfId="28" priority="40">
      <formula>G49=F49</formula>
    </cfRule>
    <cfRule type="expression" dxfId="27" priority="41">
      <formula>G49&lt;F49</formula>
    </cfRule>
    <cfRule type="expression" dxfId="26" priority="42">
      <formula>G49&gt;F49</formula>
    </cfRule>
  </conditionalFormatting>
  <conditionalFormatting sqref="H50:H51">
    <cfRule type="expression" dxfId="25" priority="34">
      <formula>G50=F50</formula>
    </cfRule>
    <cfRule type="expression" dxfId="24" priority="35">
      <formula>G50&lt;F50</formula>
    </cfRule>
    <cfRule type="expression" dxfId="23" priority="36">
      <formula>G50&gt;F50</formula>
    </cfRule>
  </conditionalFormatting>
  <conditionalFormatting sqref="J105:J1048576 J1:J18 J26:J37 J44:J55">
    <cfRule type="containsErrors" dxfId="22" priority="27">
      <formula>ISERROR(J1)</formula>
    </cfRule>
  </conditionalFormatting>
  <conditionalFormatting sqref="J38:J39 J41:J42">
    <cfRule type="containsErrors" dxfId="21" priority="23">
      <formula>ISERROR(J38)</formula>
    </cfRule>
  </conditionalFormatting>
  <conditionalFormatting sqref="H41:H42">
    <cfRule type="expression" dxfId="20" priority="24">
      <formula>G41=F41</formula>
    </cfRule>
    <cfRule type="expression" dxfId="19" priority="25">
      <formula>G41&lt;F41</formula>
    </cfRule>
    <cfRule type="expression" dxfId="18" priority="26">
      <formula>G41&gt;F41</formula>
    </cfRule>
  </conditionalFormatting>
  <conditionalFormatting sqref="H43">
    <cfRule type="expression" dxfId="17" priority="20">
      <formula>G43=F43</formula>
    </cfRule>
    <cfRule type="expression" dxfId="16" priority="21">
      <formula>G43&lt;F43</formula>
    </cfRule>
    <cfRule type="expression" dxfId="15" priority="22">
      <formula>G43&gt;F43</formula>
    </cfRule>
  </conditionalFormatting>
  <conditionalFormatting sqref="J43">
    <cfRule type="containsErrors" dxfId="14" priority="19">
      <formula>ISERROR(J43)</formula>
    </cfRule>
  </conditionalFormatting>
  <conditionalFormatting sqref="J40">
    <cfRule type="containsErrors" dxfId="13" priority="18">
      <formula>ISERROR(J40)</formula>
    </cfRule>
  </conditionalFormatting>
  <conditionalFormatting sqref="P31:P36">
    <cfRule type="containsErrors" dxfId="12" priority="17">
      <formula>ISERROR(P31)</formula>
    </cfRule>
  </conditionalFormatting>
  <conditionalFormatting sqref="H23">
    <cfRule type="expression" dxfId="11" priority="2">
      <formula>G23=F23</formula>
    </cfRule>
    <cfRule type="expression" dxfId="10" priority="3">
      <formula>G23&lt;F23</formula>
    </cfRule>
    <cfRule type="expression" dxfId="9" priority="4">
      <formula>G23&gt;F23</formula>
    </cfRule>
  </conditionalFormatting>
  <conditionalFormatting sqref="J23">
    <cfRule type="containsErrors" dxfId="8" priority="1">
      <formula>ISERROR(J23)</formula>
    </cfRule>
  </conditionalFormatting>
  <conditionalFormatting sqref="H19:H20 H22 H24:H25">
    <cfRule type="expression" dxfId="7" priority="10">
      <formula>G19=F19</formula>
    </cfRule>
    <cfRule type="expression" dxfId="6" priority="11">
      <formula>G19&lt;F19</formula>
    </cfRule>
    <cfRule type="expression" dxfId="5" priority="12">
      <formula>G19&gt;F19</formula>
    </cfRule>
  </conditionalFormatting>
  <conditionalFormatting sqref="J19:J20 J22 J24:J25">
    <cfRule type="containsErrors" dxfId="4" priority="9">
      <formula>ISERROR(J19)</formula>
    </cfRule>
  </conditionalFormatting>
  <conditionalFormatting sqref="H21">
    <cfRule type="expression" dxfId="3" priority="6">
      <formula>G21=F21</formula>
    </cfRule>
    <cfRule type="expression" dxfId="2" priority="7">
      <formula>G21&lt;F21</formula>
    </cfRule>
    <cfRule type="expression" dxfId="1" priority="8">
      <formula>G21&gt;F21</formula>
    </cfRule>
  </conditionalFormatting>
  <conditionalFormatting sqref="J21">
    <cfRule type="containsErrors" dxfId="0" priority="5">
      <formula>ISERROR(J21)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0"/>
  <sheetViews>
    <sheetView showGridLines="0" zoomScaleNormal="10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A22" sqref="A22"/>
    </sheetView>
  </sheetViews>
  <sheetFormatPr defaultColWidth="9.109375" defaultRowHeight="14.4" x14ac:dyDescent="0.3"/>
  <cols>
    <col min="1" max="1" width="33.5546875" style="1" customWidth="1"/>
    <col min="2" max="2" width="41.33203125" style="1" customWidth="1"/>
    <col min="3" max="4" width="12.5546875" style="1" bestFit="1" customWidth="1"/>
    <col min="5" max="5" width="12.109375" style="1" bestFit="1" customWidth="1"/>
    <col min="6" max="6" width="11.88671875" style="1" bestFit="1" customWidth="1"/>
    <col min="7" max="7" width="11.5546875" style="1" bestFit="1" customWidth="1"/>
    <col min="8" max="8" width="2.109375" style="1" customWidth="1"/>
    <col min="9" max="16384" width="9.109375" style="1"/>
  </cols>
  <sheetData>
    <row r="1" spans="1:7" x14ac:dyDescent="0.3">
      <c r="B1" s="95" t="str">
        <f>Snapshots!B2</f>
        <v>6 LUNI</v>
      </c>
    </row>
    <row r="2" spans="1:7" ht="15" thickBot="1" x14ac:dyDescent="0.35"/>
    <row r="3" spans="1:7" ht="18.75" customHeight="1" thickBot="1" x14ac:dyDescent="0.35">
      <c r="A3" s="91" t="s">
        <v>0</v>
      </c>
      <c r="B3" s="91" t="s">
        <v>46</v>
      </c>
      <c r="C3" s="97">
        <f>Data_Interim!L3</f>
        <v>2017</v>
      </c>
      <c r="D3" s="97">
        <f>Data_Interim!M3</f>
        <v>2018</v>
      </c>
      <c r="E3" s="97">
        <f>Data_Interim!N3</f>
        <v>2019</v>
      </c>
      <c r="F3" s="97">
        <f>Data_Interim!O3</f>
        <v>2020</v>
      </c>
      <c r="G3" s="97">
        <f>Data_Interim!P3</f>
        <v>2021</v>
      </c>
    </row>
    <row r="4" spans="1:7" x14ac:dyDescent="0.3">
      <c r="A4" s="1" t="s">
        <v>69</v>
      </c>
      <c r="B4" s="104" t="s">
        <v>80</v>
      </c>
      <c r="C4" s="13">
        <f>'EBIT-EBITDA'!C7</f>
        <v>-1144675</v>
      </c>
      <c r="D4" s="13">
        <f>'EBIT-EBITDA'!D7</f>
        <v>2444092</v>
      </c>
      <c r="E4" s="13">
        <f>'EBIT-EBITDA'!E7</f>
        <v>75647</v>
      </c>
      <c r="F4" s="13">
        <f>'EBIT-EBITDA'!F7</f>
        <v>-613306.00295666233</v>
      </c>
      <c r="G4" s="98">
        <f>'EBIT-EBITDA'!G7</f>
        <v>5876286.4408649877</v>
      </c>
    </row>
    <row r="5" spans="1:7" x14ac:dyDescent="0.3">
      <c r="A5" s="1" t="s">
        <v>45</v>
      </c>
      <c r="B5" s="104" t="s">
        <v>80</v>
      </c>
      <c r="C5" s="13">
        <f>'EBIT-EBITDA'!C10</f>
        <v>4924872</v>
      </c>
      <c r="D5" s="13">
        <f>'EBIT-EBITDA'!D10</f>
        <v>8691565</v>
      </c>
      <c r="E5" s="13">
        <f>'EBIT-EBITDA'!E10</f>
        <v>6153560</v>
      </c>
      <c r="F5" s="13">
        <f>'EBIT-EBITDA'!F10</f>
        <v>5203761.0070433374</v>
      </c>
      <c r="G5" s="98">
        <f>'EBIT-EBITDA'!G10</f>
        <v>11455923.500864988</v>
      </c>
    </row>
    <row r="6" spans="1:7" x14ac:dyDescent="0.3">
      <c r="A6" s="1" t="s">
        <v>50</v>
      </c>
      <c r="B6" s="13" t="s">
        <v>81</v>
      </c>
      <c r="C6" s="13">
        <f>'3.Sit.Rezultatului Global'!C50</f>
        <v>125242326</v>
      </c>
      <c r="D6" s="13">
        <f>'3.Sit.Rezultatului Global'!D50</f>
        <v>129300807</v>
      </c>
      <c r="E6" s="13">
        <f>'3.Sit.Rezultatului Global'!E50</f>
        <v>122712958</v>
      </c>
      <c r="F6" s="13">
        <f>'3.Sit.Rezultatului Global'!F50</f>
        <v>127589387.76327999</v>
      </c>
      <c r="G6" s="98">
        <f>'3.Sit.Rezultatului Global'!G50</f>
        <v>155972578.27545345</v>
      </c>
    </row>
    <row r="7" spans="1:7" x14ac:dyDescent="0.3">
      <c r="A7" s="1" t="s">
        <v>47</v>
      </c>
      <c r="B7" s="13" t="s">
        <v>61</v>
      </c>
      <c r="C7" s="31">
        <f t="shared" ref="C7:E7" si="0">C5/C6</f>
        <v>3.9322744612711839E-2</v>
      </c>
      <c r="D7" s="31">
        <f t="shared" si="0"/>
        <v>6.7219727406651067E-2</v>
      </c>
      <c r="E7" s="31">
        <f t="shared" si="0"/>
        <v>5.0145967469873882E-2</v>
      </c>
      <c r="F7" s="31">
        <f t="shared" ref="F7:G7" si="1">F5/F6</f>
        <v>4.0785218099000639E-2</v>
      </c>
      <c r="G7" s="99">
        <f t="shared" si="1"/>
        <v>7.3448317823107317E-2</v>
      </c>
    </row>
    <row r="8" spans="1:7" x14ac:dyDescent="0.3">
      <c r="A8" s="1" t="s">
        <v>48</v>
      </c>
      <c r="B8" s="1" t="s">
        <v>62</v>
      </c>
      <c r="C8" s="31">
        <f>C5/'1.Pozitia Financiara'!B26</f>
        <v>3.3143984846378177E-2</v>
      </c>
      <c r="D8" s="31">
        <f>D5/'1.Pozitia Financiara'!C26</f>
        <v>5.845676295333397E-2</v>
      </c>
      <c r="E8" s="31">
        <f>E5/'1.Pozitia Financiara'!D26</f>
        <v>4.3700909615604126E-2</v>
      </c>
      <c r="F8" s="31">
        <f>F5/'1.Pozitia Financiara'!E26</f>
        <v>3.7823145538720952E-2</v>
      </c>
      <c r="G8" s="99">
        <f>G5/'1.Pozitia Financiara'!F26</f>
        <v>8.0896636853523107E-2</v>
      </c>
    </row>
    <row r="9" spans="1:7" x14ac:dyDescent="0.3">
      <c r="A9" s="1" t="s">
        <v>49</v>
      </c>
      <c r="B9" s="1" t="s">
        <v>63</v>
      </c>
      <c r="C9" s="31">
        <f>'3.Sit.Rezultatului Global'!C16/C6</f>
        <v>-1.8551771387573877E-2</v>
      </c>
      <c r="D9" s="31">
        <f>'3.Sit.Rezultatului Global'!D16/D6</f>
        <v>9.4747359156080128E-3</v>
      </c>
      <c r="E9" s="31">
        <f>'3.Sit.Rezultatului Global'!E16/E6</f>
        <v>-8.6402529714914057E-3</v>
      </c>
      <c r="F9" s="31">
        <f>'3.Sit.Rezultatului Global'!F16/F6</f>
        <v>-1.1854447924484498E-2</v>
      </c>
      <c r="G9" s="99">
        <f>'3.Sit.Rezultatului Global'!G16/G6</f>
        <v>3.2389245768209708E-2</v>
      </c>
    </row>
    <row r="10" spans="1:7" x14ac:dyDescent="0.3">
      <c r="A10" s="1" t="s">
        <v>51</v>
      </c>
      <c r="B10" s="1" t="s">
        <v>64</v>
      </c>
      <c r="C10" s="32">
        <f>'1.Pozitia Financiara'!B18/'1.Pozitia Financiara'!B35</f>
        <v>0.7913124099881973</v>
      </c>
      <c r="D10" s="32">
        <f>'1.Pozitia Financiara'!C18/'1.Pozitia Financiara'!C35</f>
        <v>0.83180573580847994</v>
      </c>
      <c r="E10" s="32">
        <f>'1.Pozitia Financiara'!D18/'1.Pozitia Financiara'!D35</f>
        <v>0.96275823347144851</v>
      </c>
      <c r="F10" s="32">
        <f>'1.Pozitia Financiara'!E18/'1.Pozitia Financiara'!E35</f>
        <v>0.96827371381445471</v>
      </c>
      <c r="G10" s="100">
        <f>'1.Pozitia Financiara'!F18/'1.Pozitia Financiara'!F35</f>
        <v>1.0229422414034877</v>
      </c>
    </row>
    <row r="11" spans="1:7" x14ac:dyDescent="0.3">
      <c r="A11" s="1" t="s">
        <v>52</v>
      </c>
      <c r="B11" s="1" t="s">
        <v>65</v>
      </c>
      <c r="C11" s="32">
        <f>('1.Pozitia Financiara'!B18-'1.Pozitia Financiara'!B12)/'1.Pozitia Financiara'!B35</f>
        <v>0.43998471650665283</v>
      </c>
      <c r="D11" s="32">
        <f>('1.Pozitia Financiara'!C18-'1.Pozitia Financiara'!C12)/'1.Pozitia Financiara'!C35</f>
        <v>0.51688841075159975</v>
      </c>
      <c r="E11" s="32">
        <f>('1.Pozitia Financiara'!D18-'1.Pozitia Financiara'!D12)/'1.Pozitia Financiara'!D35</f>
        <v>0.57712082067095616</v>
      </c>
      <c r="F11" s="32">
        <f>('1.Pozitia Financiara'!E18-'1.Pozitia Financiara'!E12)/'1.Pozitia Financiara'!E35</f>
        <v>0.56700096673974276</v>
      </c>
      <c r="G11" s="100">
        <f>('1.Pozitia Financiara'!F18-'1.Pozitia Financiara'!F12)/'1.Pozitia Financiara'!F35</f>
        <v>0.60280274341794327</v>
      </c>
    </row>
    <row r="12" spans="1:7" x14ac:dyDescent="0.3">
      <c r="A12" s="1" t="s">
        <v>53</v>
      </c>
      <c r="B12" s="1" t="s">
        <v>66</v>
      </c>
      <c r="C12" s="33">
        <f>'1.Pozitia Financiara'!B31/'1.Pozitia Financiara'!B26</f>
        <v>0.66039426417162583</v>
      </c>
      <c r="D12" s="33">
        <f>'1.Pozitia Financiara'!C31/'1.Pozitia Financiara'!C26</f>
        <v>0.58085854657376856</v>
      </c>
      <c r="E12" s="33">
        <f>'1.Pozitia Financiara'!D31/'1.Pozitia Financiara'!D26</f>
        <v>0.47120794336235533</v>
      </c>
      <c r="F12" s="33">
        <f>'1.Pozitia Financiara'!E31/'1.Pozitia Financiara'!E26</f>
        <v>0.35325174142576748</v>
      </c>
      <c r="G12" s="101">
        <f>'1.Pozitia Financiara'!F31/'1.Pozitia Financiara'!F26</f>
        <v>0.27445207606149236</v>
      </c>
    </row>
    <row r="13" spans="1:7" x14ac:dyDescent="0.3">
      <c r="A13" s="1" t="s">
        <v>54</v>
      </c>
      <c r="B13" s="1" t="s">
        <v>67</v>
      </c>
      <c r="C13" s="33">
        <f>'1.Pozitia Financiara'!B36/'1.Pozitia Financiara'!B37</f>
        <v>0.57450004022041079</v>
      </c>
      <c r="D13" s="33">
        <f>'1.Pozitia Financiara'!C36/'1.Pozitia Financiara'!C37</f>
        <v>0.56657292272705961</v>
      </c>
      <c r="E13" s="33">
        <f>'1.Pozitia Financiara'!D36/'1.Pozitia Financiara'!D37</f>
        <v>0.54759082057120012</v>
      </c>
      <c r="F13" s="33">
        <f>'1.Pozitia Financiara'!E36/'1.Pozitia Financiara'!E37</f>
        <v>0.51914274798542515</v>
      </c>
      <c r="G13" s="101">
        <f>'1.Pozitia Financiara'!F36/'1.Pozitia Financiara'!F37</f>
        <v>0.50559305006153643</v>
      </c>
    </row>
    <row r="14" spans="1:7" x14ac:dyDescent="0.3">
      <c r="A14" s="1" t="s">
        <v>55</v>
      </c>
      <c r="B14" s="1" t="s">
        <v>68</v>
      </c>
      <c r="C14" s="34">
        <f>'EBIT-EBITDA'!C7/'EBIT-EBITDA'!C6</f>
        <v>-0.97105765902720753</v>
      </c>
      <c r="D14" s="34">
        <f>'EBIT-EBITDA'!D7/'EBIT-EBITDA'!D6</f>
        <v>2.0049958941789221</v>
      </c>
      <c r="E14" s="34">
        <f>'EBIT-EBITDA'!E7/'EBIT-EBITDA'!E6</f>
        <v>6.6595476081900279E-2</v>
      </c>
      <c r="F14" s="34">
        <f>'EBIT-EBITDA'!F7/'EBIT-EBITDA'!F6</f>
        <v>-0.68206061133703344</v>
      </c>
      <c r="G14" s="102">
        <f>'EBIT-EBITDA'!G7/'EBIT-EBITDA'!G6</f>
        <v>7.1275035010395298</v>
      </c>
    </row>
    <row r="15" spans="1:7" x14ac:dyDescent="0.3">
      <c r="A15" s="1" t="s">
        <v>56</v>
      </c>
      <c r="B15" s="1" t="s">
        <v>70</v>
      </c>
      <c r="C15" s="34">
        <f>(SUMIFS(Data_Annual_BS!$D:$D,Data_Annual_BS!$A:$A,C$3-1,Data_Annual_BS!$C:$C,"Trade and other current receivables")+'1.Pozitia Financiara'!B13)/2/C6*C20</f>
        <v>24.599181909157455</v>
      </c>
      <c r="D15" s="34">
        <f>(SUMIFS(Data_Annual_BS!$D:$D,Data_Annual_BS!$A:$A,D$3-1,Data_Annual_BS!$C:$C,"Trade and other current receivables")+'1.Pozitia Financiara'!C13)/2/D6*D20</f>
        <v>27.759398207004232</v>
      </c>
      <c r="E15" s="34">
        <f>(SUMIFS(Data_Annual_BS!$D:$D,Data_Annual_BS!$A:$A,E$3-1,Data_Annual_BS!$C:$C,"Trade and other current receivables")+'1.Pozitia Financiara'!D13)/2/E6*E20</f>
        <v>49.32083464241812</v>
      </c>
      <c r="F15" s="34">
        <f>(SUMIFS(Data_Annual_BS!$D:$D,Data_Annual_BS!$A:$A,F$3-1,Data_Annual_BS!$C:$C,"Trade and other current receivables")+'1.Pozitia Financiara'!E13)/2/F6*F20</f>
        <v>52.840794573542496</v>
      </c>
      <c r="G15" s="102">
        <f>(SUMIFS(Data_Annual_BS!$D:$D,Data_Annual_BS!$A:$A,G$3-1,Data_Annual_BS!$C:$C,"Trade and other current receivables")+'1.Pozitia Financiara'!F13)/2/G6*G20</f>
        <v>51.255938636036689</v>
      </c>
    </row>
    <row r="16" spans="1:7" x14ac:dyDescent="0.3">
      <c r="A16" s="1" t="s">
        <v>57</v>
      </c>
      <c r="B16" s="1" t="s">
        <v>71</v>
      </c>
      <c r="C16" s="34">
        <f>(SUMIFS(Data_Annual_BS!$D:$D,Data_Annual_BS!$A:$A,C$3-1,Data_Annual_BS!$C:$C,"Trade and other payables")+'1.Pozitia Financiara'!B32)/2/C6*C20</f>
        <v>30.182552741794336</v>
      </c>
      <c r="D16" s="34">
        <f>(SUMIFS(Data_Annual_BS!$D:$D,Data_Annual_BS!$A:$A,D$3-1,Data_Annual_BS!$C:$C,"Trade and other payables")+'1.Pozitia Financiara'!C32)/2/D6*D20</f>
        <v>28.510279599415028</v>
      </c>
      <c r="E16" s="34">
        <f>(SUMIFS(Data_Annual_BS!$D:$D,Data_Annual_BS!$A:$A,E$3-1,Data_Annual_BS!$C:$C,"Trade and other payables")+'1.Pozitia Financiara'!D32)/2/E6*E20</f>
        <v>30.486503633952008</v>
      </c>
      <c r="F16" s="34">
        <f>(SUMIFS(Data_Annual_BS!$D:$D,Data_Annual_BS!$A:$A,F$3-1,Data_Annual_BS!$C:$C,"Trade and other payables")+'1.Pozitia Financiara'!E32)/2/F6*F20</f>
        <v>23.161667811353606</v>
      </c>
      <c r="G16" s="102">
        <f>(SUMIFS(Data_Annual_BS!$D:$D,Data_Annual_BS!$A:$A,G$3-1,Data_Annual_BS!$C:$C,"Trade and other payables")+'1.Pozitia Financiara'!F32)/2/G6*G20</f>
        <v>24.291787020706167</v>
      </c>
    </row>
    <row r="17" spans="1:7" x14ac:dyDescent="0.3">
      <c r="A17" s="1" t="s">
        <v>58</v>
      </c>
      <c r="B17" s="1" t="s">
        <v>72</v>
      </c>
      <c r="C17" s="31">
        <f>'3.Sit.Rezultatului Global'!C18/'1.Pozitia Financiara'!B19</f>
        <v>-6.9733925123417646E-3</v>
      </c>
      <c r="D17" s="31">
        <f>'3.Sit.Rezultatului Global'!D18/'1.Pozitia Financiara'!C19</f>
        <v>3.5178121632946022E-3</v>
      </c>
      <c r="E17" s="31">
        <f>'3.Sit.Rezultatului Global'!E18/'1.Pozitia Financiara'!D19</f>
        <v>-3.7398453976788741E-3</v>
      </c>
      <c r="F17" s="31">
        <f>'3.Sit.Rezultatului Global'!F18/'1.Pozitia Financiara'!E19</f>
        <v>-5.7383387233946731E-3</v>
      </c>
      <c r="G17" s="99">
        <f>'3.Sit.Rezultatului Global'!G18/'1.Pozitia Financiara'!F19</f>
        <v>1.5722486337833359E-2</v>
      </c>
    </row>
    <row r="18" spans="1:7" x14ac:dyDescent="0.3">
      <c r="A18" s="1" t="s">
        <v>59</v>
      </c>
      <c r="B18" s="1" t="s">
        <v>73</v>
      </c>
      <c r="C18" s="31">
        <f>'3.Sit.Rezultatului Global'!C18/'1.Pozitia Financiara'!B26</f>
        <v>-1.6388703105762951E-2</v>
      </c>
      <c r="D18" s="31">
        <f>'3.Sit.Rezultatului Global'!D18/'1.Pozitia Financiara'!C26</f>
        <v>8.1162722583650281E-3</v>
      </c>
      <c r="E18" s="31">
        <f>'3.Sit.Rezultatului Global'!E18/'1.Pozitia Financiara'!D26</f>
        <v>-8.2665108661161713E-3</v>
      </c>
      <c r="F18" s="31">
        <f>'3.Sit.Rezultatului Global'!F18/'1.Pozitia Financiara'!E26</f>
        <v>-1.1933559698591702E-2</v>
      </c>
      <c r="G18" s="99">
        <f>'3.Sit.Rezultatului Global'!G18/'1.Pozitia Financiara'!F26</f>
        <v>3.1800698455172999E-2</v>
      </c>
    </row>
    <row r="19" spans="1:7" x14ac:dyDescent="0.3">
      <c r="A19" s="1" t="s">
        <v>60</v>
      </c>
      <c r="B19" s="1" t="s">
        <v>74</v>
      </c>
      <c r="C19" s="31">
        <f>'3.Sit.Rezultatului Global'!C18/C6</f>
        <v>-1.9443913873014463E-2</v>
      </c>
      <c r="D19" s="31">
        <f>'3.Sit.Rezultatului Global'!D18/D6</f>
        <v>9.3329425237075273E-3</v>
      </c>
      <c r="E19" s="31">
        <f>'3.Sit.Rezultatului Global'!E18/E6</f>
        <v>-9.4856649124210671E-3</v>
      </c>
      <c r="F19" s="31">
        <f>'3.Sit.Rezultatului Global'!F18/F6</f>
        <v>-1.2868121571386518E-2</v>
      </c>
      <c r="G19" s="99">
        <f>'3.Sit.Rezultatului Global'!G18/G6</f>
        <v>2.8872743020968029E-2</v>
      </c>
    </row>
    <row r="20" spans="1:7" s="24" customFormat="1" x14ac:dyDescent="0.3">
      <c r="B20" s="24" t="s">
        <v>139</v>
      </c>
      <c r="C20" s="73">
        <v>180</v>
      </c>
      <c r="D20" s="73">
        <v>180</v>
      </c>
      <c r="E20" s="73">
        <v>180</v>
      </c>
      <c r="F20" s="73">
        <v>180</v>
      </c>
      <c r="G20" s="103">
        <v>180</v>
      </c>
    </row>
    <row r="22" spans="1:7" x14ac:dyDescent="0.3">
      <c r="A22" s="24" t="s">
        <v>41</v>
      </c>
    </row>
    <row r="23" spans="1:7" x14ac:dyDescent="0.3">
      <c r="C23" s="81"/>
      <c r="D23" s="81"/>
      <c r="E23" s="81"/>
      <c r="F23" s="81"/>
      <c r="G23" s="81"/>
    </row>
    <row r="24" spans="1:7" x14ac:dyDescent="0.3">
      <c r="C24" s="81"/>
      <c r="D24" s="81"/>
      <c r="E24" s="81"/>
      <c r="F24" s="81"/>
      <c r="G24" s="81"/>
    </row>
    <row r="25" spans="1:7" x14ac:dyDescent="0.3">
      <c r="C25" s="81"/>
      <c r="D25" s="81"/>
      <c r="E25" s="81"/>
      <c r="F25" s="81"/>
      <c r="G25" s="81"/>
    </row>
    <row r="26" spans="1:7" x14ac:dyDescent="0.3">
      <c r="C26" s="81"/>
      <c r="D26" s="81"/>
      <c r="E26" s="81"/>
      <c r="F26" s="81"/>
      <c r="G26" s="81"/>
    </row>
    <row r="27" spans="1:7" x14ac:dyDescent="0.3">
      <c r="C27" s="81"/>
      <c r="D27" s="81"/>
      <c r="E27" s="81"/>
      <c r="F27" s="81"/>
      <c r="G27" s="81"/>
    </row>
    <row r="28" spans="1:7" x14ac:dyDescent="0.3">
      <c r="C28" s="81"/>
      <c r="D28" s="81"/>
      <c r="E28" s="81"/>
      <c r="F28" s="81"/>
      <c r="G28" s="81"/>
    </row>
    <row r="29" spans="1:7" x14ac:dyDescent="0.3">
      <c r="C29" s="81"/>
      <c r="D29" s="81"/>
      <c r="E29" s="81"/>
      <c r="F29" s="81"/>
      <c r="G29" s="81"/>
    </row>
    <row r="30" spans="1:7" x14ac:dyDescent="0.3">
      <c r="C30" s="81"/>
      <c r="D30" s="81"/>
      <c r="E30" s="81"/>
      <c r="F30" s="81"/>
      <c r="G30" s="81"/>
    </row>
    <row r="31" spans="1:7" x14ac:dyDescent="0.3">
      <c r="C31" s="81"/>
      <c r="D31" s="81"/>
      <c r="E31" s="81"/>
      <c r="F31" s="81"/>
      <c r="G31" s="81"/>
    </row>
    <row r="32" spans="1:7" x14ac:dyDescent="0.3">
      <c r="C32" s="81"/>
      <c r="D32" s="81"/>
      <c r="E32" s="81"/>
      <c r="F32" s="81"/>
      <c r="G32" s="81"/>
    </row>
    <row r="33" spans="3:7" x14ac:dyDescent="0.3">
      <c r="C33" s="81"/>
      <c r="D33" s="81"/>
      <c r="E33" s="81"/>
      <c r="F33" s="81"/>
      <c r="G33" s="81"/>
    </row>
    <row r="34" spans="3:7" x14ac:dyDescent="0.3">
      <c r="C34" s="81"/>
      <c r="D34" s="81"/>
      <c r="E34" s="81"/>
      <c r="F34" s="81"/>
      <c r="G34" s="81"/>
    </row>
    <row r="35" spans="3:7" x14ac:dyDescent="0.3">
      <c r="C35" s="81"/>
      <c r="D35" s="81"/>
      <c r="E35" s="81"/>
      <c r="F35" s="81"/>
      <c r="G35" s="81"/>
    </row>
    <row r="36" spans="3:7" x14ac:dyDescent="0.3">
      <c r="C36" s="81"/>
      <c r="D36" s="81"/>
      <c r="E36" s="81"/>
      <c r="F36" s="81"/>
      <c r="G36" s="81"/>
    </row>
    <row r="37" spans="3:7" x14ac:dyDescent="0.3">
      <c r="C37" s="81"/>
      <c r="D37" s="81"/>
      <c r="E37" s="81"/>
      <c r="F37" s="81"/>
      <c r="G37" s="81"/>
    </row>
    <row r="38" spans="3:7" x14ac:dyDescent="0.3">
      <c r="C38" s="81"/>
      <c r="D38" s="81"/>
      <c r="E38" s="81"/>
      <c r="F38" s="81"/>
      <c r="G38" s="81"/>
    </row>
    <row r="39" spans="3:7" x14ac:dyDescent="0.3">
      <c r="C39" s="81"/>
      <c r="D39" s="81"/>
      <c r="E39" s="81"/>
      <c r="F39" s="81"/>
      <c r="G39" s="81"/>
    </row>
    <row r="40" spans="3:7" x14ac:dyDescent="0.3">
      <c r="C40" s="81"/>
      <c r="D40" s="81"/>
      <c r="E40" s="81"/>
      <c r="F40" s="81"/>
      <c r="G40" s="81"/>
    </row>
  </sheetData>
  <hyperlinks>
    <hyperlink ref="B4" location="'EBIT-EBITDA'!A1" display="See EBIT-EBITDA" xr:uid="{5A7694FE-C4E2-4A8A-8E6B-E12036C358EE}"/>
    <hyperlink ref="B5" location="'EBIT-EBITDA'!A1" display="See EBIT-EBITDA" xr:uid="{957C128E-6D79-4B0D-B208-C5EDC9CB8865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D49E-853A-49F6-AD4D-C89CC2595DE3}">
  <dimension ref="B1:X41"/>
  <sheetViews>
    <sheetView zoomScale="84" zoomScaleNormal="84" workbookViewId="0">
      <selection activeCell="S46" sqref="S46"/>
    </sheetView>
  </sheetViews>
  <sheetFormatPr defaultColWidth="9.109375" defaultRowHeight="14.4" x14ac:dyDescent="0.3"/>
  <cols>
    <col min="1" max="1" width="5.6640625" style="151" customWidth="1"/>
    <col min="2" max="3" width="9.109375" style="151"/>
    <col min="4" max="4" width="9.88671875" style="151" customWidth="1"/>
    <col min="5" max="5" width="13.88671875" style="151" customWidth="1"/>
    <col min="6" max="6" width="9.109375" style="151"/>
    <col min="7" max="7" width="15.6640625" style="151" customWidth="1"/>
    <col min="8" max="8" width="9.109375" style="151"/>
    <col min="9" max="9" width="2.21875" style="151" customWidth="1"/>
    <col min="10" max="10" width="1.109375" style="151" customWidth="1"/>
    <col min="11" max="17" width="9.109375" style="151"/>
    <col min="18" max="18" width="3.6640625" style="151" customWidth="1"/>
    <col min="19" max="16384" width="9.109375" style="151"/>
  </cols>
  <sheetData>
    <row r="1" spans="2:21" ht="8.25" customHeight="1" x14ac:dyDescent="0.3"/>
    <row r="2" spans="2:21" x14ac:dyDescent="0.3">
      <c r="B2" s="224" t="s">
        <v>146</v>
      </c>
      <c r="C2" s="224"/>
      <c r="D2" s="224"/>
      <c r="E2" s="224"/>
      <c r="F2" s="223" t="s">
        <v>5</v>
      </c>
      <c r="G2" s="223"/>
      <c r="H2" s="223"/>
      <c r="J2" s="95"/>
      <c r="K2" s="224" t="s">
        <v>148</v>
      </c>
      <c r="L2" s="224"/>
      <c r="M2" s="224"/>
      <c r="N2" s="224"/>
      <c r="O2" s="223" t="s">
        <v>143</v>
      </c>
      <c r="P2" s="223"/>
      <c r="Q2" s="95"/>
      <c r="R2" s="95"/>
      <c r="S2" s="224" t="s">
        <v>149</v>
      </c>
      <c r="T2" s="224"/>
      <c r="U2" s="152">
        <v>2021</v>
      </c>
    </row>
    <row r="3" spans="2:21" x14ac:dyDescent="0.3">
      <c r="B3" s="224" t="s">
        <v>147</v>
      </c>
      <c r="C3" s="224"/>
      <c r="D3" s="224"/>
      <c r="E3" s="224"/>
      <c r="F3" s="223" t="s">
        <v>8</v>
      </c>
      <c r="G3" s="223"/>
      <c r="H3" s="223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2:21" ht="5.25" customHeight="1" x14ac:dyDescent="0.3"/>
    <row r="19" spans="2:24" ht="9" customHeight="1" x14ac:dyDescent="0.3"/>
    <row r="20" spans="2:24" s="95" customFormat="1" x14ac:dyDescent="0.3">
      <c r="B20" s="224" t="s">
        <v>148</v>
      </c>
      <c r="C20" s="224"/>
      <c r="D20" s="224"/>
      <c r="E20" s="224"/>
      <c r="F20" s="223" t="s">
        <v>134</v>
      </c>
      <c r="G20" s="223"/>
      <c r="H20" s="223"/>
      <c r="I20" s="145"/>
      <c r="P20" s="224" t="s">
        <v>151</v>
      </c>
      <c r="Q20" s="224"/>
      <c r="R20" s="224"/>
      <c r="S20" s="224"/>
      <c r="T20" s="222" t="s">
        <v>18</v>
      </c>
      <c r="U20" s="222"/>
      <c r="V20" s="222"/>
      <c r="W20" s="222"/>
      <c r="X20" s="222"/>
    </row>
    <row r="21" spans="2:24" ht="16.5" customHeight="1" x14ac:dyDescent="0.3">
      <c r="B21" s="224" t="s">
        <v>150</v>
      </c>
      <c r="C21" s="224"/>
      <c r="D21" s="224"/>
      <c r="E21" s="224"/>
      <c r="F21" s="223">
        <f>hiddenPage!K3</f>
        <v>2021</v>
      </c>
      <c r="G21" s="223"/>
      <c r="H21" s="223"/>
      <c r="I21" s="145"/>
    </row>
    <row r="41" spans="2:2" x14ac:dyDescent="0.3">
      <c r="B41" s="151" t="s">
        <v>41</v>
      </c>
    </row>
  </sheetData>
  <mergeCells count="13">
    <mergeCell ref="T20:X20"/>
    <mergeCell ref="F2:H2"/>
    <mergeCell ref="F3:H3"/>
    <mergeCell ref="B21:E21"/>
    <mergeCell ref="F21:H21"/>
    <mergeCell ref="B20:E20"/>
    <mergeCell ref="F20:H20"/>
    <mergeCell ref="P20:S20"/>
    <mergeCell ref="S2:T2"/>
    <mergeCell ref="B2:E2"/>
    <mergeCell ref="B3:E3"/>
    <mergeCell ref="K2:N2"/>
    <mergeCell ref="O2:P2"/>
  </mergeCells>
  <dataValidations count="4">
    <dataValidation type="list" allowBlank="1" showInputMessage="1" showErrorMessage="1" sqref="T20 F2:F3" xr:uid="{3E6CC772-2AAB-4AD0-A3D6-39532E581268}">
      <formula1>List1</formula1>
    </dataValidation>
    <dataValidation type="list" allowBlank="1" showInputMessage="1" showErrorMessage="1" sqref="O2:P2" xr:uid="{3D62F296-CEC4-4A85-A2D7-B4EEB2B274B5}">
      <formula1>List2</formula1>
    </dataValidation>
    <dataValidation type="list" allowBlank="1" showInputMessage="1" showErrorMessage="1" sqref="F20" xr:uid="{EBC18753-CD2B-4717-AE19-6F1D8CEF1D72}">
      <formula1>List3</formula1>
    </dataValidation>
    <dataValidation type="list" allowBlank="1" showInputMessage="1" showErrorMessage="1" sqref="U2 F21:I21" xr:uid="{B573E89E-1260-4782-85D0-47AE8C3580B4}">
      <formula1>List5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1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J15" sqref="J15"/>
    </sheetView>
  </sheetViews>
  <sheetFormatPr defaultColWidth="9.109375" defaultRowHeight="14.4" x14ac:dyDescent="0.3"/>
  <cols>
    <col min="1" max="2" width="40.109375" style="1" customWidth="1"/>
    <col min="3" max="3" width="12" style="1" bestFit="1" customWidth="1"/>
    <col min="4" max="6" width="11.88671875" style="1" bestFit="1" customWidth="1"/>
    <col min="7" max="7" width="12" style="1" bestFit="1" customWidth="1"/>
    <col min="8" max="16384" width="9.109375" style="1"/>
  </cols>
  <sheetData>
    <row r="2" spans="1:7" ht="15" thickBot="1" x14ac:dyDescent="0.35"/>
    <row r="3" spans="1:7" s="35" customFormat="1" ht="21.75" customHeight="1" thickBot="1" x14ac:dyDescent="0.35">
      <c r="A3" s="91" t="s">
        <v>0</v>
      </c>
      <c r="B3" s="91" t="s">
        <v>0</v>
      </c>
      <c r="C3" s="97">
        <f>Data_Interim!L3</f>
        <v>2017</v>
      </c>
      <c r="D3" s="97">
        <f>Data_Interim!M3</f>
        <v>2018</v>
      </c>
      <c r="E3" s="97">
        <f>Data_Interim!N3</f>
        <v>2019</v>
      </c>
      <c r="F3" s="97">
        <f>Data_Interim!O3</f>
        <v>2020</v>
      </c>
      <c r="G3" s="97">
        <f>Data_Interim!P3</f>
        <v>2021</v>
      </c>
    </row>
    <row r="4" spans="1:7" x14ac:dyDescent="0.3">
      <c r="A4" s="15" t="s">
        <v>75</v>
      </c>
      <c r="B4" s="15" t="s">
        <v>82</v>
      </c>
      <c r="C4" s="15">
        <f>'3.Sit.Rezultatului Global'!C18</f>
        <v>-2435201</v>
      </c>
      <c r="D4" s="15">
        <f>'3.Sit.Rezultatului Global'!D18</f>
        <v>1206757</v>
      </c>
      <c r="E4" s="15">
        <f>'3.Sit.Rezultatului Global'!E18</f>
        <v>-1164014</v>
      </c>
      <c r="F4" s="15">
        <f>'3.Sit.Rezultatului Global'!F18</f>
        <v>-1641835.7529566623</v>
      </c>
      <c r="G4" s="105">
        <f>'3.Sit.Rezultatului Global'!G18</f>
        <v>4503356.1708649881</v>
      </c>
    </row>
    <row r="5" spans="1:7" x14ac:dyDescent="0.3">
      <c r="A5" s="15" t="s">
        <v>76</v>
      </c>
      <c r="B5" s="15" t="s">
        <v>83</v>
      </c>
      <c r="C5" s="15">
        <f>-'3.Sit.Rezultatului Global'!C17</f>
        <v>111734</v>
      </c>
      <c r="D5" s="15">
        <f>-'3.Sit.Rezultatului Global'!D17</f>
        <v>18334</v>
      </c>
      <c r="E5" s="15">
        <f>-'3.Sit.Rezultatului Global'!E17</f>
        <v>103743</v>
      </c>
      <c r="F5" s="15">
        <f>-'3.Sit.Rezultatului Global'!F17</f>
        <v>129334</v>
      </c>
      <c r="G5" s="105">
        <f>-'3.Sit.Rezultatului Global'!G17</f>
        <v>548478</v>
      </c>
    </row>
    <row r="6" spans="1:7" x14ac:dyDescent="0.3">
      <c r="A6" s="15" t="s">
        <v>77</v>
      </c>
      <c r="B6" s="15" t="s">
        <v>84</v>
      </c>
      <c r="C6" s="15">
        <f>SUMIF(Data_Interim!$C:$C,$B6,Data_Interim!L:L)</f>
        <v>1178792</v>
      </c>
      <c r="D6" s="15">
        <f>SUMIF(Data_Interim!$C:$C,$B6,Data_Interim!M:M)</f>
        <v>1219001</v>
      </c>
      <c r="E6" s="15">
        <f>SUMIF(Data_Interim!$C:$C,$B6,Data_Interim!N:N)</f>
        <v>1135918</v>
      </c>
      <c r="F6" s="15">
        <f>SUMIF(Data_Interim!$C:$C,$B6,Data_Interim!O:O)</f>
        <v>899195.75</v>
      </c>
      <c r="G6" s="105">
        <f>SUMIF(Data_Interim!$C:$C,$B6,Data_Interim!P:P)</f>
        <v>824452.27</v>
      </c>
    </row>
    <row r="7" spans="1:7" x14ac:dyDescent="0.3">
      <c r="A7" s="30" t="s">
        <v>69</v>
      </c>
      <c r="B7" s="30" t="s">
        <v>69</v>
      </c>
      <c r="C7" s="30">
        <f>C4+C5+C6</f>
        <v>-1144675</v>
      </c>
      <c r="D7" s="30">
        <f>D4+D5+D6</f>
        <v>2444092</v>
      </c>
      <c r="E7" s="30">
        <f>E4+E5+E6</f>
        <v>75647</v>
      </c>
      <c r="F7" s="30">
        <f>F4+F5+F6</f>
        <v>-613306.00295666233</v>
      </c>
      <c r="G7" s="106">
        <f>G4+G5+G6</f>
        <v>5876286.4408649877</v>
      </c>
    </row>
    <row r="8" spans="1:7" x14ac:dyDescent="0.3">
      <c r="A8" s="15" t="s">
        <v>78</v>
      </c>
      <c r="B8" s="15" t="s">
        <v>85</v>
      </c>
      <c r="C8" s="15">
        <f>SUMIF(Data_Interim!$C:$C,$B8,Data_Interim!L:L)</f>
        <v>8044716</v>
      </c>
      <c r="D8" s="15">
        <f>SUMIF(Data_Interim!$C:$C,$B8,Data_Interim!M:M)</f>
        <v>8254973</v>
      </c>
      <c r="E8" s="15">
        <f>SUMIF(Data_Interim!$C:$C,$B8,Data_Interim!N:N)</f>
        <v>8153995</v>
      </c>
      <c r="F8" s="15">
        <f>SUMIF(Data_Interim!$C:$C,$B8,Data_Interim!O:O)</f>
        <v>7724818.1399999997</v>
      </c>
      <c r="G8" s="105">
        <f>SUMIF(Data_Interim!$C:$C,$B8,Data_Interim!P:P)</f>
        <v>7452482.4600000009</v>
      </c>
    </row>
    <row r="9" spans="1:7" x14ac:dyDescent="0.3">
      <c r="A9" s="15" t="s">
        <v>79</v>
      </c>
      <c r="B9" s="15" t="s">
        <v>86</v>
      </c>
      <c r="C9" s="15">
        <f>SUMIF(Data_Interim!$C:$C,$B9,Data_Interim!L:L)</f>
        <v>1975169</v>
      </c>
      <c r="D9" s="15">
        <f>SUMIF(Data_Interim!$C:$C,$B9,Data_Interim!M:M)</f>
        <v>2007500</v>
      </c>
      <c r="E9" s="15">
        <f>SUMIF(Data_Interim!$C:$C,$B9,Data_Interim!N:N)</f>
        <v>2076082</v>
      </c>
      <c r="F9" s="15">
        <f>SUMIF(Data_Interim!$C:$C,$B9,Data_Interim!O:O)</f>
        <v>1907751.13</v>
      </c>
      <c r="G9" s="105">
        <f>SUMIF(Data_Interim!$C:$C,$B9,Data_Interim!P:P)</f>
        <v>1872845.4</v>
      </c>
    </row>
    <row r="10" spans="1:7" x14ac:dyDescent="0.3">
      <c r="A10" s="30" t="s">
        <v>45</v>
      </c>
      <c r="B10" s="30" t="s">
        <v>45</v>
      </c>
      <c r="C10" s="30">
        <f>C7+C8-C9</f>
        <v>4924872</v>
      </c>
      <c r="D10" s="30">
        <f>D7+D8-D9</f>
        <v>8691565</v>
      </c>
      <c r="E10" s="30">
        <f>E7+E8-E9</f>
        <v>6153560</v>
      </c>
      <c r="F10" s="30">
        <f>F7+F8-F9</f>
        <v>5203761.0070433374</v>
      </c>
      <c r="G10" s="106">
        <f>G7+G8-G9</f>
        <v>11455923.500864988</v>
      </c>
    </row>
    <row r="12" spans="1:7" x14ac:dyDescent="0.3">
      <c r="A12" s="1" t="s">
        <v>140</v>
      </c>
    </row>
    <row r="15" spans="1:7" x14ac:dyDescent="0.3">
      <c r="A15" s="1" t="s">
        <v>41</v>
      </c>
    </row>
  </sheetData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beb21d21-9938-4ab8-bb7d-321daa53b3ce}" enabled="1" method="Standard" siteId="{da7cd86b-2037-41c5-9ffe-1c010686ff1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Cuprins</vt:lpstr>
      <vt:lpstr>Snapshots</vt:lpstr>
      <vt:lpstr>1.Pozitia Financiara</vt:lpstr>
      <vt:lpstr>hiddenPage</vt:lpstr>
      <vt:lpstr>2.Pozitia Financiara-Comparatii</vt:lpstr>
      <vt:lpstr>3.Sit.Rezultatului Global</vt:lpstr>
      <vt:lpstr>4.Indicatori Financiari</vt:lpstr>
      <vt:lpstr>Grafice</vt:lpstr>
      <vt:lpstr>EBIT-EBITDA</vt:lpstr>
      <vt:lpstr>Data_Interim</vt:lpstr>
      <vt:lpstr>Data_Annual_BS</vt:lpstr>
      <vt:lpstr>List1</vt:lpstr>
      <vt:lpstr>List2</vt:lpstr>
      <vt:lpstr>List3</vt:lpstr>
      <vt:lpstr>List5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2021-08-30T14:49:01Z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b21d21-9938-4ab8-bb7d-321daa53b3ce_Enabled">
    <vt:lpwstr>True</vt:lpwstr>
  </property>
  <property fmtid="{D5CDD505-2E9C-101B-9397-08002B2CF9AE}" pid="3" name="MSIP_Label_beb21d21-9938-4ab8-bb7d-321daa53b3ce_SiteId">
    <vt:lpwstr>da7cd86b-2037-41c5-9ffe-1c010686ff18</vt:lpwstr>
  </property>
  <property fmtid="{D5CDD505-2E9C-101B-9397-08002B2CF9AE}" pid="4" name="MSIP_Label_beb21d21-9938-4ab8-bb7d-321daa53b3ce_Owner">
    <vt:lpwstr>adrian.coman@romcarbon.com</vt:lpwstr>
  </property>
  <property fmtid="{D5CDD505-2E9C-101B-9397-08002B2CF9AE}" pid="5" name="MSIP_Label_beb21d21-9938-4ab8-bb7d-321daa53b3ce_SetDate">
    <vt:lpwstr>2020-07-30T13:22:07.3590837Z</vt:lpwstr>
  </property>
  <property fmtid="{D5CDD505-2E9C-101B-9397-08002B2CF9AE}" pid="6" name="MSIP_Label_beb21d21-9938-4ab8-bb7d-321daa53b3ce_Name">
    <vt:lpwstr>General</vt:lpwstr>
  </property>
  <property fmtid="{D5CDD505-2E9C-101B-9397-08002B2CF9AE}" pid="7" name="MSIP_Label_beb21d21-9938-4ab8-bb7d-321daa53b3ce_Application">
    <vt:lpwstr>Microsoft Azure Information Protection</vt:lpwstr>
  </property>
  <property fmtid="{D5CDD505-2E9C-101B-9397-08002B2CF9AE}" pid="8" name="MSIP_Label_beb21d21-9938-4ab8-bb7d-321daa53b3ce_ActionId">
    <vt:lpwstr>cc88fe09-2ce1-4a46-b69c-24207cdb3f9d</vt:lpwstr>
  </property>
  <property fmtid="{D5CDD505-2E9C-101B-9397-08002B2CF9AE}" pid="9" name="MSIP_Label_beb21d21-9938-4ab8-bb7d-321daa53b3ce_Extended_MSFT_Method">
    <vt:lpwstr>Automatic</vt:lpwstr>
  </property>
  <property fmtid="{D5CDD505-2E9C-101B-9397-08002B2CF9AE}" pid="10" name="Sensitivity">
    <vt:lpwstr>General</vt:lpwstr>
  </property>
</Properties>
</file>