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9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filterPrivacy="1"/>
  <xr:revisionPtr revIDLastSave="125" documentId="8_{A0244804-3891-4EC5-8F20-C658EEA5D822}" xr6:coauthVersionLast="47" xr6:coauthVersionMax="47" xr10:uidLastSave="{CC7DCAA0-53A7-426D-BA32-9E2A22A62D35}"/>
  <bookViews>
    <workbookView xWindow="-108" yWindow="-108" windowWidth="23256" windowHeight="12576" tabRatio="857" xr2:uid="{00000000-000D-0000-FFFF-FFFF00000000}"/>
  </bookViews>
  <sheets>
    <sheet name="Contents" sheetId="6" r:id="rId1"/>
    <sheet name="Snapshots" sheetId="8" r:id="rId2"/>
    <sheet name="1.FinancialPosition" sheetId="1" r:id="rId3"/>
    <sheet name="2.FinancialPosition-Comparison" sheetId="15" r:id="rId4"/>
    <sheet name="3.Profit or loss statement" sheetId="2" r:id="rId5"/>
    <sheet name="4.Financial ratios" sheetId="3" r:id="rId6"/>
    <sheet name="Charts" sheetId="9" r:id="rId7"/>
    <sheet name="EBIT-EBITDA" sheetId="5" r:id="rId8"/>
    <sheet name="Data_Interim" sheetId="11" state="hidden" r:id="rId9"/>
    <sheet name="Data_Annual_BS" sheetId="14" state="hidden" r:id="rId10"/>
    <sheet name="hiddenPage" sheetId="10" state="hidden" r:id="rId11"/>
  </sheets>
  <definedNames>
    <definedName name="_xlnm._FilterDatabase" localSheetId="9" hidden="1">Data_Annual_BS!$A$3:$D$207</definedName>
    <definedName name="_xlnm._FilterDatabase" localSheetId="8" hidden="1">Data_Interim!$A$3:$Y$127</definedName>
    <definedName name="Area">INDEX(hiddenPage!XEW1048572:XEW1,MATCH(hiddenPage!B1048571,hiddenPage!XFD1048572:XFD1,0)):INDEX(hiddenPage!XEW1048572:XEW1,MATCH(hiddenPage!B1048572,hiddenPage!XFD1048572:XFD1,0))</definedName>
    <definedName name="Data">IF(hiddenPage!#REF!=4,Selection3,IF(hiddenPage!#REF!=5,Selection2,Selection1))</definedName>
    <definedName name="List1">hiddenPage!$M$3:$M$12</definedName>
    <definedName name="List2">hiddenPage!$O$3:$O$6</definedName>
    <definedName name="List3">hiddenPage!$Y$3:$Y$7</definedName>
    <definedName name="List5">hiddenPage!$L$3:$L$5</definedName>
    <definedName name="Selection1">hiddenPage!#REF!</definedName>
    <definedName name="Selection2">hiddenPage!#REF!</definedName>
    <definedName name="Selection3">hiddenPage!#REF!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2" l="1"/>
  <c r="G25" i="2"/>
  <c r="F25" i="2"/>
  <c r="D25" i="2"/>
  <c r="E25" i="2"/>
  <c r="C25" i="2"/>
  <c r="G21" i="2"/>
  <c r="E21" i="2"/>
  <c r="F21" i="2" s="1"/>
  <c r="D21" i="2"/>
  <c r="H21" i="2" s="1"/>
  <c r="C21" i="2"/>
  <c r="AG3" i="10" l="1"/>
  <c r="A16" i="10" s="1"/>
  <c r="A48" i="10"/>
  <c r="G45" i="10"/>
  <c r="H45" i="10"/>
  <c r="F45" i="10"/>
  <c r="A46" i="10"/>
  <c r="H10" i="8"/>
  <c r="E9" i="8"/>
  <c r="D9" i="8"/>
  <c r="C9" i="8"/>
  <c r="D46" i="10" l="1"/>
  <c r="E46" i="10"/>
  <c r="Q6" i="15" l="1"/>
  <c r="C6" i="15"/>
  <c r="Q28" i="15"/>
  <c r="J28" i="15"/>
  <c r="C28" i="15"/>
  <c r="Q26" i="15"/>
  <c r="O26" i="15"/>
  <c r="J26" i="15"/>
  <c r="H26" i="15"/>
  <c r="C26" i="15"/>
  <c r="Q25" i="15"/>
  <c r="J25" i="15"/>
  <c r="C25" i="15"/>
  <c r="Q9" i="15"/>
  <c r="J9" i="15"/>
  <c r="C9" i="15"/>
  <c r="Q8" i="15"/>
  <c r="J8" i="15"/>
  <c r="C8" i="15"/>
  <c r="Q7" i="15"/>
  <c r="J7" i="15"/>
  <c r="C7" i="15"/>
  <c r="J6" i="15"/>
  <c r="C22" i="2"/>
  <c r="D24" i="2"/>
  <c r="E24" i="2" l="1"/>
  <c r="F24" i="2" s="1"/>
  <c r="E22" i="2"/>
  <c r="C24" i="2"/>
  <c r="D22" i="2"/>
  <c r="F22" i="2" l="1"/>
  <c r="G24" i="2"/>
  <c r="H22" i="2"/>
  <c r="G22" i="2"/>
  <c r="H24" i="2"/>
  <c r="A12" i="10" l="1"/>
  <c r="I9" i="10"/>
  <c r="A13" i="10" l="1"/>
  <c r="D7" i="10"/>
  <c r="AE24" i="10"/>
  <c r="AE25" i="10"/>
  <c r="AE26" i="10"/>
  <c r="AE27" i="10"/>
  <c r="AE4" i="10"/>
  <c r="AE5" i="10"/>
  <c r="AE6" i="10"/>
  <c r="AE7" i="10"/>
  <c r="AE8" i="10"/>
  <c r="AE9" i="10"/>
  <c r="AE10" i="10"/>
  <c r="AE11" i="10"/>
  <c r="AE12" i="10"/>
  <c r="AE13" i="10"/>
  <c r="AE14" i="10"/>
  <c r="AE15" i="10"/>
  <c r="AE16" i="10"/>
  <c r="AE17" i="10"/>
  <c r="AE22" i="10"/>
  <c r="AE23" i="10"/>
  <c r="D23" i="2" l="1"/>
  <c r="C23" i="2"/>
  <c r="E23" i="2"/>
  <c r="D19" i="2"/>
  <c r="C19" i="2"/>
  <c r="E19" i="2"/>
  <c r="E20" i="2"/>
  <c r="D20" i="2"/>
  <c r="C20" i="2"/>
  <c r="AE3" i="10"/>
  <c r="H23" i="2" l="1"/>
  <c r="F23" i="2"/>
  <c r="G23" i="2"/>
  <c r="F20" i="2"/>
  <c r="G20" i="2"/>
  <c r="H20" i="2"/>
  <c r="F19" i="2"/>
  <c r="H19" i="2"/>
  <c r="G19" i="2"/>
  <c r="D8" i="1"/>
  <c r="C8" i="1"/>
  <c r="E8" i="1"/>
  <c r="E9" i="1"/>
  <c r="D9" i="1"/>
  <c r="C9" i="1"/>
  <c r="D25" i="15"/>
  <c r="R25" i="15"/>
  <c r="K25" i="15"/>
  <c r="E25" i="1"/>
  <c r="C25" i="1"/>
  <c r="D25" i="1"/>
  <c r="C10" i="1"/>
  <c r="D10" i="1"/>
  <c r="E10" i="1"/>
  <c r="R6" i="15"/>
  <c r="E17" i="2"/>
  <c r="H9" i="8"/>
  <c r="C17" i="2"/>
  <c r="C5" i="5" s="1"/>
  <c r="D17" i="2"/>
  <c r="A25" i="10"/>
  <c r="D3" i="10"/>
  <c r="R9" i="15" l="1"/>
  <c r="E7" i="1"/>
  <c r="U25" i="15"/>
  <c r="S25" i="15"/>
  <c r="T25" i="15"/>
  <c r="R7" i="15"/>
  <c r="E5" i="1"/>
  <c r="G25" i="15"/>
  <c r="F25" i="15"/>
  <c r="E25" i="15"/>
  <c r="C5" i="1"/>
  <c r="D7" i="15"/>
  <c r="C6" i="1"/>
  <c r="D8" i="15"/>
  <c r="I9" i="1"/>
  <c r="H9" i="1"/>
  <c r="G9" i="1"/>
  <c r="N25" i="15"/>
  <c r="L25" i="15"/>
  <c r="M25" i="15"/>
  <c r="I10" i="1"/>
  <c r="G10" i="1"/>
  <c r="H10" i="1"/>
  <c r="R8" i="15"/>
  <c r="E6" i="1"/>
  <c r="D7" i="1"/>
  <c r="K9" i="15"/>
  <c r="I25" i="1"/>
  <c r="H25" i="1"/>
  <c r="G25" i="1"/>
  <c r="G8" i="1"/>
  <c r="I8" i="1"/>
  <c r="H8" i="1"/>
  <c r="D5" i="1"/>
  <c r="K7" i="15"/>
  <c r="K8" i="15"/>
  <c r="D6" i="1"/>
  <c r="D9" i="15"/>
  <c r="C7" i="1"/>
  <c r="D35" i="2"/>
  <c r="F9" i="8"/>
  <c r="G9" i="8"/>
  <c r="D35" i="15"/>
  <c r="D44" i="2"/>
  <c r="D12" i="15"/>
  <c r="D16" i="15"/>
  <c r="C4" i="1"/>
  <c r="E26" i="2"/>
  <c r="R19" i="15"/>
  <c r="D5" i="5"/>
  <c r="D26" i="2"/>
  <c r="R16" i="15"/>
  <c r="E5" i="5"/>
  <c r="D6" i="5"/>
  <c r="E6" i="5"/>
  <c r="E44" i="2"/>
  <c r="R27" i="15"/>
  <c r="D29" i="15"/>
  <c r="D30" i="15"/>
  <c r="R10" i="15"/>
  <c r="E37" i="2"/>
  <c r="C37" i="2"/>
  <c r="E33" i="2"/>
  <c r="R23" i="15"/>
  <c r="D34" i="15"/>
  <c r="D10" i="15"/>
  <c r="D27" i="15"/>
  <c r="R29" i="15"/>
  <c r="D13" i="2"/>
  <c r="D36" i="15"/>
  <c r="R11" i="15"/>
  <c r="E50" i="2"/>
  <c r="R12" i="15"/>
  <c r="C9" i="5"/>
  <c r="R32" i="15"/>
  <c r="E9" i="2"/>
  <c r="D24" i="15"/>
  <c r="D14" i="15"/>
  <c r="D18" i="15"/>
  <c r="C7" i="2"/>
  <c r="C15" i="2"/>
  <c r="C7" i="8" s="1"/>
  <c r="C34" i="2"/>
  <c r="C51" i="2"/>
  <c r="R24" i="15"/>
  <c r="E9" i="5"/>
  <c r="R14" i="15"/>
  <c r="R31" i="15"/>
  <c r="D11" i="15"/>
  <c r="C50" i="2"/>
  <c r="R18" i="15"/>
  <c r="R34" i="15"/>
  <c r="R17" i="15"/>
  <c r="D19" i="15"/>
  <c r="R30" i="15"/>
  <c r="D17" i="15"/>
  <c r="E36" i="2"/>
  <c r="D32" i="15"/>
  <c r="D9" i="2"/>
  <c r="K17" i="15"/>
  <c r="C21" i="1"/>
  <c r="D23" i="15"/>
  <c r="K12" i="15"/>
  <c r="K23" i="15"/>
  <c r="K29" i="15"/>
  <c r="K24" i="15"/>
  <c r="K19" i="15"/>
  <c r="K14" i="15"/>
  <c r="K31" i="15"/>
  <c r="R15" i="15"/>
  <c r="R22" i="15"/>
  <c r="K36" i="15"/>
  <c r="K18" i="15"/>
  <c r="K34" i="15"/>
  <c r="K15" i="15"/>
  <c r="D22" i="15"/>
  <c r="K16" i="15"/>
  <c r="K6" i="15"/>
  <c r="K35" i="15"/>
  <c r="K22" i="15"/>
  <c r="K32" i="15"/>
  <c r="E34" i="1"/>
  <c r="R36" i="15"/>
  <c r="K30" i="15"/>
  <c r="K11" i="15"/>
  <c r="R35" i="15"/>
  <c r="K10" i="15"/>
  <c r="K27" i="15"/>
  <c r="C29" i="1"/>
  <c r="D31" i="15"/>
  <c r="D15" i="15"/>
  <c r="D6" i="15"/>
  <c r="C8" i="5"/>
  <c r="D50" i="2"/>
  <c r="C6" i="5"/>
  <c r="D9" i="10"/>
  <c r="L7" i="10" s="1"/>
  <c r="D14" i="10"/>
  <c r="D9" i="5"/>
  <c r="D51" i="2"/>
  <c r="E51" i="2"/>
  <c r="D8" i="5"/>
  <c r="E8" i="5"/>
  <c r="E15" i="2"/>
  <c r="E7" i="8" s="1"/>
  <c r="D15" i="1"/>
  <c r="C43" i="2"/>
  <c r="D30" i="1"/>
  <c r="C36" i="2"/>
  <c r="C34" i="1"/>
  <c r="C16" i="1"/>
  <c r="C11" i="2"/>
  <c r="C14" i="1"/>
  <c r="E4" i="2"/>
  <c r="D4" i="2"/>
  <c r="E22" i="1"/>
  <c r="C44" i="2"/>
  <c r="C27" i="1"/>
  <c r="D4" i="1"/>
  <c r="C15" i="1"/>
  <c r="C10" i="2"/>
  <c r="D14" i="2"/>
  <c r="C35" i="2"/>
  <c r="E13" i="2"/>
  <c r="D22" i="1"/>
  <c r="E6" i="2"/>
  <c r="C26" i="2"/>
  <c r="E14" i="2"/>
  <c r="C33" i="2"/>
  <c r="C28" i="1"/>
  <c r="C6" i="2"/>
  <c r="E30" i="1"/>
  <c r="D5" i="2"/>
  <c r="D21" i="1"/>
  <c r="D27" i="1"/>
  <c r="E4" i="1"/>
  <c r="C9" i="2"/>
  <c r="E21" i="1"/>
  <c r="D34" i="1"/>
  <c r="D14" i="1"/>
  <c r="E5" i="2"/>
  <c r="D10" i="2"/>
  <c r="D29" i="1"/>
  <c r="D7" i="2"/>
  <c r="D34" i="2"/>
  <c r="E14" i="1"/>
  <c r="E27" i="1"/>
  <c r="C5" i="2"/>
  <c r="E15" i="1"/>
  <c r="C22" i="1"/>
  <c r="D28" i="1"/>
  <c r="D6" i="2"/>
  <c r="E10" i="2"/>
  <c r="C30" i="1"/>
  <c r="C13" i="2"/>
  <c r="D36" i="2"/>
  <c r="D33" i="2"/>
  <c r="E35" i="2"/>
  <c r="E12" i="1"/>
  <c r="D16" i="1"/>
  <c r="E29" i="1"/>
  <c r="E7" i="2"/>
  <c r="D11" i="2"/>
  <c r="E34" i="2"/>
  <c r="D43" i="2"/>
  <c r="E28" i="1"/>
  <c r="C14" i="2"/>
  <c r="D37" i="2"/>
  <c r="D33" i="1"/>
  <c r="C4" i="2"/>
  <c r="E16" i="1"/>
  <c r="E11" i="2"/>
  <c r="D15" i="2"/>
  <c r="D7" i="8" s="1"/>
  <c r="E43" i="2"/>
  <c r="C17" i="1"/>
  <c r="E33" i="1"/>
  <c r="E32" i="1"/>
  <c r="C13" i="1"/>
  <c r="E8" i="2"/>
  <c r="C27" i="2"/>
  <c r="D17" i="1"/>
  <c r="C12" i="1"/>
  <c r="D23" i="1"/>
  <c r="C32" i="1"/>
  <c r="E13" i="1"/>
  <c r="E20" i="1"/>
  <c r="D8" i="2"/>
  <c r="D27" i="2"/>
  <c r="E17" i="1"/>
  <c r="C33" i="1"/>
  <c r="D12" i="1"/>
  <c r="C23" i="1"/>
  <c r="E23" i="1"/>
  <c r="D13" i="1"/>
  <c r="C20" i="1"/>
  <c r="E27" i="2"/>
  <c r="D32" i="1"/>
  <c r="D20" i="1"/>
  <c r="C8" i="2"/>
  <c r="G7" i="8" l="1"/>
  <c r="F7" i="8"/>
  <c r="K26" i="15"/>
  <c r="N26" i="15" s="1"/>
  <c r="D24" i="1"/>
  <c r="D26" i="1" s="1"/>
  <c r="E24" i="1"/>
  <c r="E26" i="1" s="1"/>
  <c r="C24" i="1"/>
  <c r="C26" i="1" s="1"/>
  <c r="T8" i="15"/>
  <c r="U8" i="15"/>
  <c r="S8" i="15"/>
  <c r="E9" i="15"/>
  <c r="G9" i="15"/>
  <c r="F9" i="15"/>
  <c r="G5" i="1"/>
  <c r="H5" i="1"/>
  <c r="I5" i="1"/>
  <c r="M26" i="15"/>
  <c r="G8" i="15"/>
  <c r="F8" i="15"/>
  <c r="E8" i="15"/>
  <c r="U7" i="15"/>
  <c r="T7" i="15"/>
  <c r="S7" i="15"/>
  <c r="R26" i="15"/>
  <c r="L8" i="15"/>
  <c r="N8" i="15"/>
  <c r="M8" i="15"/>
  <c r="N7" i="15"/>
  <c r="M7" i="15"/>
  <c r="L7" i="15"/>
  <c r="G7" i="15"/>
  <c r="E7" i="15"/>
  <c r="F7" i="15"/>
  <c r="M9" i="15"/>
  <c r="L9" i="15"/>
  <c r="N9" i="15"/>
  <c r="D26" i="15"/>
  <c r="I7" i="1"/>
  <c r="H7" i="1"/>
  <c r="G7" i="1"/>
  <c r="G6" i="1"/>
  <c r="I6" i="1"/>
  <c r="H6" i="1"/>
  <c r="U9" i="15"/>
  <c r="S9" i="15"/>
  <c r="T9" i="15"/>
  <c r="C12" i="2"/>
  <c r="C16" i="2" s="1"/>
  <c r="D12" i="2"/>
  <c r="D16" i="2" s="1"/>
  <c r="E12" i="2"/>
  <c r="E16" i="2" s="1"/>
  <c r="I34" i="1"/>
  <c r="I29" i="1"/>
  <c r="I23" i="1"/>
  <c r="I28" i="1"/>
  <c r="I16" i="1"/>
  <c r="I12" i="1"/>
  <c r="I32" i="1"/>
  <c r="I27" i="1"/>
  <c r="I14" i="1"/>
  <c r="I21" i="1"/>
  <c r="I30" i="1"/>
  <c r="I22" i="1"/>
  <c r="I4" i="1"/>
  <c r="I15" i="1"/>
  <c r="I13" i="1"/>
  <c r="I33" i="1"/>
  <c r="I20" i="1"/>
  <c r="I17" i="1"/>
  <c r="D11" i="1"/>
  <c r="C38" i="2"/>
  <c r="E38" i="2"/>
  <c r="E52" i="2"/>
  <c r="E6" i="3" s="1"/>
  <c r="F50" i="2"/>
  <c r="D38" i="2"/>
  <c r="R13" i="15"/>
  <c r="C52" i="2"/>
  <c r="C6" i="3" s="1"/>
  <c r="G50" i="2"/>
  <c r="H50" i="2"/>
  <c r="R33" i="15"/>
  <c r="R37" i="15"/>
  <c r="D13" i="15"/>
  <c r="D33" i="15"/>
  <c r="K37" i="15"/>
  <c r="K33" i="15"/>
  <c r="K13" i="15"/>
  <c r="D37" i="15"/>
  <c r="K20" i="15"/>
  <c r="D20" i="15"/>
  <c r="R20" i="15"/>
  <c r="D52" i="2"/>
  <c r="D6" i="3" s="1"/>
  <c r="E3" i="10"/>
  <c r="H51" i="2"/>
  <c r="F51" i="2"/>
  <c r="G51" i="2"/>
  <c r="C11" i="1"/>
  <c r="H34" i="2"/>
  <c r="F44" i="2"/>
  <c r="F43" i="2"/>
  <c r="F37" i="2"/>
  <c r="F36" i="2"/>
  <c r="F35" i="2"/>
  <c r="F34" i="2"/>
  <c r="F27" i="2"/>
  <c r="F26" i="2"/>
  <c r="F17" i="2"/>
  <c r="F15" i="2"/>
  <c r="F14" i="2"/>
  <c r="F13" i="2"/>
  <c r="F11" i="2"/>
  <c r="F10" i="2"/>
  <c r="F9" i="2"/>
  <c r="F8" i="2"/>
  <c r="F7" i="2"/>
  <c r="F6" i="2"/>
  <c r="F5" i="2"/>
  <c r="F4" i="2"/>
  <c r="G24" i="1" l="1"/>
  <c r="I24" i="1"/>
  <c r="K28" i="15"/>
  <c r="H24" i="1"/>
  <c r="G26" i="15"/>
  <c r="F26" i="15"/>
  <c r="D28" i="15"/>
  <c r="R28" i="15"/>
  <c r="U26" i="15"/>
  <c r="T26" i="15"/>
  <c r="F12" i="2"/>
  <c r="E39" i="2"/>
  <c r="C39" i="2"/>
  <c r="D39" i="2"/>
  <c r="L51" i="2"/>
  <c r="J32" i="2"/>
  <c r="J49" i="2"/>
  <c r="K51" i="2"/>
  <c r="J51" i="2"/>
  <c r="J50" i="2"/>
  <c r="K50" i="2"/>
  <c r="L50" i="2"/>
  <c r="F52" i="2"/>
  <c r="C3" i="3"/>
  <c r="C15" i="3" s="1"/>
  <c r="R38" i="15"/>
  <c r="H52" i="2"/>
  <c r="D38" i="15"/>
  <c r="K38" i="15"/>
  <c r="R21" i="15"/>
  <c r="D21" i="15"/>
  <c r="G52" i="2"/>
  <c r="K21" i="15"/>
  <c r="E9" i="10"/>
  <c r="L6" i="10" s="1"/>
  <c r="C4" i="8"/>
  <c r="F3" i="10"/>
  <c r="C3" i="5"/>
  <c r="K32" i="2" l="1"/>
  <c r="K49" i="2"/>
  <c r="L52" i="2"/>
  <c r="K52" i="2"/>
  <c r="J52" i="2"/>
  <c r="C30" i="15"/>
  <c r="G30" i="15" s="1"/>
  <c r="C15" i="15"/>
  <c r="G15" i="15" s="1"/>
  <c r="C22" i="15"/>
  <c r="G22" i="15" s="1"/>
  <c r="C36" i="15"/>
  <c r="G36" i="15" s="1"/>
  <c r="G6" i="15"/>
  <c r="C34" i="15"/>
  <c r="G34" i="15" s="1"/>
  <c r="C16" i="15"/>
  <c r="G16" i="15" s="1"/>
  <c r="C27" i="15"/>
  <c r="G27" i="15" s="1"/>
  <c r="C10" i="15"/>
  <c r="G10" i="15" s="1"/>
  <c r="C18" i="15"/>
  <c r="G18" i="15" s="1"/>
  <c r="C24" i="15"/>
  <c r="G24" i="15" s="1"/>
  <c r="J24" i="15"/>
  <c r="N24" i="15" s="1"/>
  <c r="D3" i="3"/>
  <c r="D15" i="3" s="1"/>
  <c r="C29" i="15"/>
  <c r="G29" i="15" s="1"/>
  <c r="C14" i="15"/>
  <c r="G14" i="15" s="1"/>
  <c r="C35" i="15"/>
  <c r="G35" i="15" s="1"/>
  <c r="C19" i="15"/>
  <c r="G19" i="15" s="1"/>
  <c r="C11" i="15"/>
  <c r="G11" i="15" s="1"/>
  <c r="C32" i="15"/>
  <c r="G32" i="15" s="1"/>
  <c r="C17" i="15"/>
  <c r="G17" i="15" s="1"/>
  <c r="C23" i="15"/>
  <c r="G23" i="15" s="1"/>
  <c r="C12" i="15"/>
  <c r="G12" i="15" s="1"/>
  <c r="C31" i="15"/>
  <c r="G31" i="15" s="1"/>
  <c r="R39" i="15"/>
  <c r="D39" i="15"/>
  <c r="K39" i="15"/>
  <c r="D4" i="8"/>
  <c r="D3" i="5"/>
  <c r="G3" i="10"/>
  <c r="F9" i="10"/>
  <c r="L5" i="10" s="1"/>
  <c r="F15" i="10"/>
  <c r="F14" i="10" s="1"/>
  <c r="C32" i="2"/>
  <c r="C42" i="2" s="1"/>
  <c r="C49" i="2"/>
  <c r="C14" i="10"/>
  <c r="E14" i="10"/>
  <c r="B14" i="10"/>
  <c r="F12" i="15" l="1"/>
  <c r="F11" i="15"/>
  <c r="E6" i="15"/>
  <c r="E31" i="15"/>
  <c r="F30" i="15"/>
  <c r="F35" i="15"/>
  <c r="F14" i="15"/>
  <c r="E29" i="15"/>
  <c r="F27" i="15"/>
  <c r="E17" i="15"/>
  <c r="F34" i="15"/>
  <c r="F24" i="15"/>
  <c r="F36" i="15"/>
  <c r="E18" i="15"/>
  <c r="F15" i="15"/>
  <c r="F3" i="2"/>
  <c r="F49" i="2"/>
  <c r="L32" i="2"/>
  <c r="F42" i="2"/>
  <c r="F32" i="2"/>
  <c r="L49" i="2"/>
  <c r="E27" i="15"/>
  <c r="E34" i="15"/>
  <c r="E15" i="15"/>
  <c r="E10" i="15"/>
  <c r="F10" i="15"/>
  <c r="F17" i="15"/>
  <c r="E19" i="15"/>
  <c r="F19" i="15"/>
  <c r="F18" i="15"/>
  <c r="E22" i="15"/>
  <c r="F31" i="15"/>
  <c r="F22" i="15"/>
  <c r="F29" i="15"/>
  <c r="J27" i="15"/>
  <c r="N27" i="15" s="1"/>
  <c r="E30" i="15"/>
  <c r="J10" i="15"/>
  <c r="N10" i="15" s="1"/>
  <c r="J23" i="15"/>
  <c r="N23" i="15" s="1"/>
  <c r="J17" i="15"/>
  <c r="N17" i="15" s="1"/>
  <c r="J31" i="15"/>
  <c r="N31" i="15" s="1"/>
  <c r="C33" i="15"/>
  <c r="G33" i="15" s="1"/>
  <c r="E36" i="15"/>
  <c r="E11" i="15"/>
  <c r="E16" i="15"/>
  <c r="E14" i="15"/>
  <c r="F16" i="15"/>
  <c r="E24" i="15"/>
  <c r="F32" i="15"/>
  <c r="C20" i="15"/>
  <c r="G20" i="15" s="1"/>
  <c r="E12" i="15"/>
  <c r="E23" i="15"/>
  <c r="J11" i="15"/>
  <c r="N11" i="15" s="1"/>
  <c r="J22" i="15"/>
  <c r="N22" i="15" s="1"/>
  <c r="J30" i="15"/>
  <c r="N30" i="15" s="1"/>
  <c r="J36" i="15"/>
  <c r="N36" i="15" s="1"/>
  <c r="F23" i="15"/>
  <c r="J16" i="15"/>
  <c r="N16" i="15" s="1"/>
  <c r="J29" i="15"/>
  <c r="N29" i="15" s="1"/>
  <c r="J14" i="15"/>
  <c r="N14" i="15" s="1"/>
  <c r="J35" i="15"/>
  <c r="N35" i="15" s="1"/>
  <c r="J19" i="15"/>
  <c r="N19" i="15" s="1"/>
  <c r="F6" i="15"/>
  <c r="E32" i="15"/>
  <c r="E35" i="15"/>
  <c r="J32" i="15"/>
  <c r="N32" i="15" s="1"/>
  <c r="N6" i="15"/>
  <c r="J15" i="15"/>
  <c r="N15" i="15" s="1"/>
  <c r="G28" i="15"/>
  <c r="J12" i="15"/>
  <c r="N12" i="15" s="1"/>
  <c r="J34" i="15"/>
  <c r="N34" i="15" s="1"/>
  <c r="J18" i="15"/>
  <c r="N18" i="15" s="1"/>
  <c r="C37" i="15"/>
  <c r="G37" i="15" s="1"/>
  <c r="C13" i="15"/>
  <c r="G13" i="15" s="1"/>
  <c r="E3" i="3"/>
  <c r="E15" i="3" s="1"/>
  <c r="L24" i="15"/>
  <c r="M24" i="15"/>
  <c r="R41" i="15"/>
  <c r="K41" i="15"/>
  <c r="E4" i="8"/>
  <c r="F3" i="1"/>
  <c r="G3" i="1"/>
  <c r="D41" i="15"/>
  <c r="E49" i="2"/>
  <c r="H3" i="10"/>
  <c r="H15" i="10" s="1"/>
  <c r="H14" i="10" s="1"/>
  <c r="E3" i="5"/>
  <c r="G15" i="10"/>
  <c r="G14" i="10" s="1"/>
  <c r="G9" i="10"/>
  <c r="L4" i="10" s="1"/>
  <c r="D32" i="2"/>
  <c r="D42" i="2" s="1"/>
  <c r="D49" i="2"/>
  <c r="E26" i="15" l="1"/>
  <c r="E28" i="15" s="1"/>
  <c r="M10" i="15"/>
  <c r="M6" i="15"/>
  <c r="L11" i="15"/>
  <c r="L12" i="15"/>
  <c r="M14" i="15"/>
  <c r="L30" i="15"/>
  <c r="M32" i="15"/>
  <c r="M29" i="15"/>
  <c r="E33" i="15"/>
  <c r="L18" i="15"/>
  <c r="L27" i="15"/>
  <c r="E37" i="15"/>
  <c r="L34" i="15"/>
  <c r="M16" i="15"/>
  <c r="L31" i="15"/>
  <c r="M17" i="15"/>
  <c r="F28" i="15"/>
  <c r="M23" i="15"/>
  <c r="L23" i="15"/>
  <c r="F13" i="15"/>
  <c r="L35" i="15"/>
  <c r="L17" i="15"/>
  <c r="F33" i="15"/>
  <c r="L14" i="15"/>
  <c r="M27" i="15"/>
  <c r="M31" i="15"/>
  <c r="E20" i="15"/>
  <c r="L10" i="15"/>
  <c r="L22" i="15"/>
  <c r="N28" i="15"/>
  <c r="L29" i="15"/>
  <c r="L36" i="15"/>
  <c r="L19" i="15"/>
  <c r="M19" i="15"/>
  <c r="M11" i="15"/>
  <c r="M34" i="15"/>
  <c r="M30" i="15"/>
  <c r="L6" i="15"/>
  <c r="C21" i="15"/>
  <c r="G21" i="15" s="1"/>
  <c r="M35" i="15"/>
  <c r="M36" i="15"/>
  <c r="F20" i="15"/>
  <c r="L16" i="15"/>
  <c r="M22" i="15"/>
  <c r="L32" i="15"/>
  <c r="J33" i="15"/>
  <c r="N33" i="15" s="1"/>
  <c r="M18" i="15"/>
  <c r="J20" i="15"/>
  <c r="N20" i="15" s="1"/>
  <c r="M15" i="15"/>
  <c r="J37" i="15"/>
  <c r="N37" i="15" s="1"/>
  <c r="E13" i="15"/>
  <c r="F37" i="15"/>
  <c r="J13" i="15"/>
  <c r="N13" i="15" s="1"/>
  <c r="M12" i="15"/>
  <c r="C38" i="15"/>
  <c r="G38" i="15" s="1"/>
  <c r="L15" i="15"/>
  <c r="Q35" i="15"/>
  <c r="U35" i="15" s="1"/>
  <c r="Q30" i="15"/>
  <c r="U30" i="15" s="1"/>
  <c r="Q23" i="15"/>
  <c r="U23" i="15" s="1"/>
  <c r="Q18" i="15"/>
  <c r="U18" i="15" s="1"/>
  <c r="Q14" i="15"/>
  <c r="U14" i="15" s="1"/>
  <c r="U6" i="15"/>
  <c r="Q34" i="15"/>
  <c r="U34" i="15" s="1"/>
  <c r="Q29" i="15"/>
  <c r="U29" i="15" s="1"/>
  <c r="Q22" i="15"/>
  <c r="U22" i="15" s="1"/>
  <c r="Q17" i="15"/>
  <c r="U17" i="15" s="1"/>
  <c r="Q12" i="15"/>
  <c r="U12" i="15" s="1"/>
  <c r="Q32" i="15"/>
  <c r="U32" i="15" s="1"/>
  <c r="Q27" i="15"/>
  <c r="U27" i="15" s="1"/>
  <c r="Q16" i="15"/>
  <c r="U16" i="15" s="1"/>
  <c r="Q11" i="15"/>
  <c r="U11" i="15" s="1"/>
  <c r="Q36" i="15"/>
  <c r="U36" i="15" s="1"/>
  <c r="Q31" i="15"/>
  <c r="U31" i="15" s="1"/>
  <c r="Q24" i="15"/>
  <c r="U24" i="15" s="1"/>
  <c r="Q19" i="15"/>
  <c r="U19" i="15" s="1"/>
  <c r="Q15" i="15"/>
  <c r="U15" i="15" s="1"/>
  <c r="Q10" i="15"/>
  <c r="U10" i="15" s="1"/>
  <c r="H9" i="10"/>
  <c r="L3" i="10" s="1"/>
  <c r="E32" i="2"/>
  <c r="E42" i="2" s="1"/>
  <c r="E6" i="8"/>
  <c r="E5" i="8"/>
  <c r="E45" i="2"/>
  <c r="H44" i="2"/>
  <c r="G44" i="2"/>
  <c r="H43" i="2"/>
  <c r="G43" i="2"/>
  <c r="L36" i="2"/>
  <c r="H37" i="2"/>
  <c r="G37" i="2"/>
  <c r="H36" i="2"/>
  <c r="G36" i="2"/>
  <c r="H35" i="2"/>
  <c r="G35" i="2"/>
  <c r="G34" i="2"/>
  <c r="G27" i="2"/>
  <c r="G26" i="2"/>
  <c r="H17" i="2"/>
  <c r="G17" i="2"/>
  <c r="H15" i="2"/>
  <c r="G15" i="2"/>
  <c r="H14" i="2"/>
  <c r="G14" i="2"/>
  <c r="H13" i="2"/>
  <c r="G13" i="2"/>
  <c r="H12" i="2"/>
  <c r="G12" i="2"/>
  <c r="H11" i="2"/>
  <c r="G11" i="2"/>
  <c r="G10" i="2"/>
  <c r="H9" i="2"/>
  <c r="G9" i="2"/>
  <c r="H8" i="2"/>
  <c r="G8" i="2"/>
  <c r="H7" i="2"/>
  <c r="G7" i="2"/>
  <c r="H6" i="2"/>
  <c r="G6" i="2"/>
  <c r="H5" i="2"/>
  <c r="G5" i="2"/>
  <c r="H4" i="2"/>
  <c r="G4" i="2"/>
  <c r="E11" i="1"/>
  <c r="I11" i="1" s="1"/>
  <c r="E18" i="1"/>
  <c r="H46" i="10" s="1"/>
  <c r="E31" i="1"/>
  <c r="E35" i="1"/>
  <c r="H34" i="1"/>
  <c r="G34" i="1"/>
  <c r="H33" i="1"/>
  <c r="G33" i="1"/>
  <c r="H32" i="1"/>
  <c r="G32" i="1"/>
  <c r="H30" i="1"/>
  <c r="G30" i="1"/>
  <c r="H29" i="1"/>
  <c r="G29" i="1"/>
  <c r="H28" i="1"/>
  <c r="G28" i="1"/>
  <c r="H27" i="1"/>
  <c r="G27" i="1"/>
  <c r="H23" i="1"/>
  <c r="G23" i="1"/>
  <c r="H22" i="1"/>
  <c r="G22" i="1"/>
  <c r="H21" i="1"/>
  <c r="G21" i="1"/>
  <c r="H20" i="1"/>
  <c r="G20" i="1"/>
  <c r="H17" i="1"/>
  <c r="G17" i="1"/>
  <c r="H16" i="1"/>
  <c r="G16" i="1"/>
  <c r="H15" i="1"/>
  <c r="G15" i="1"/>
  <c r="H14" i="1"/>
  <c r="G14" i="1"/>
  <c r="H13" i="1"/>
  <c r="G13" i="1"/>
  <c r="H12" i="1"/>
  <c r="G12" i="1"/>
  <c r="H4" i="1"/>
  <c r="G4" i="1"/>
  <c r="F4" i="8"/>
  <c r="L26" i="15" l="1"/>
  <c r="L28" i="15" s="1"/>
  <c r="E11" i="3"/>
  <c r="E17" i="8"/>
  <c r="E46" i="2"/>
  <c r="C39" i="15"/>
  <c r="G39" i="15" s="1"/>
  <c r="M37" i="15"/>
  <c r="M20" i="15"/>
  <c r="M13" i="15"/>
  <c r="E21" i="15"/>
  <c r="L33" i="15"/>
  <c r="F21" i="15"/>
  <c r="M33" i="15"/>
  <c r="E13" i="8"/>
  <c r="E16" i="3"/>
  <c r="M28" i="15"/>
  <c r="L20" i="15"/>
  <c r="J21" i="15"/>
  <c r="N21" i="15" s="1"/>
  <c r="F38" i="15"/>
  <c r="E38" i="15"/>
  <c r="J38" i="15"/>
  <c r="N38" i="15" s="1"/>
  <c r="L13" i="15"/>
  <c r="L37" i="15"/>
  <c r="T24" i="15"/>
  <c r="S24" i="15"/>
  <c r="Q33" i="15"/>
  <c r="U33" i="15" s="1"/>
  <c r="T29" i="15"/>
  <c r="S29" i="15"/>
  <c r="T10" i="15"/>
  <c r="S10" i="15"/>
  <c r="T31" i="15"/>
  <c r="S31" i="15"/>
  <c r="S12" i="15"/>
  <c r="T12" i="15"/>
  <c r="Q37" i="15"/>
  <c r="U37" i="15" s="1"/>
  <c r="T34" i="15"/>
  <c r="S34" i="15"/>
  <c r="T18" i="15"/>
  <c r="S18" i="15"/>
  <c r="S16" i="15"/>
  <c r="T16" i="15"/>
  <c r="S35" i="15"/>
  <c r="T35" i="15"/>
  <c r="S36" i="15"/>
  <c r="T36" i="15"/>
  <c r="T17" i="15"/>
  <c r="S17" i="15"/>
  <c r="T23" i="15"/>
  <c r="S23" i="15"/>
  <c r="Q20" i="15"/>
  <c r="U20" i="15" s="1"/>
  <c r="T14" i="15"/>
  <c r="S14" i="15"/>
  <c r="T15" i="15"/>
  <c r="S15" i="15"/>
  <c r="S27" i="15"/>
  <c r="T27" i="15"/>
  <c r="T19" i="15"/>
  <c r="S19" i="15"/>
  <c r="S11" i="15"/>
  <c r="T11" i="15"/>
  <c r="S32" i="15"/>
  <c r="T32" i="15"/>
  <c r="U28" i="15"/>
  <c r="T22" i="15"/>
  <c r="S22" i="15"/>
  <c r="S26" i="15" s="1"/>
  <c r="Q13" i="15"/>
  <c r="U13" i="15" s="1"/>
  <c r="S6" i="15"/>
  <c r="T6" i="15"/>
  <c r="T30" i="15"/>
  <c r="S30" i="15"/>
  <c r="H8" i="10"/>
  <c r="E9" i="3"/>
  <c r="E12" i="3"/>
  <c r="L34" i="2"/>
  <c r="L33" i="2"/>
  <c r="L35" i="2"/>
  <c r="L37" i="2"/>
  <c r="E18" i="2"/>
  <c r="E10" i="3"/>
  <c r="E12" i="8"/>
  <c r="E14" i="8"/>
  <c r="E36" i="1"/>
  <c r="E15" i="8" s="1"/>
  <c r="E19" i="1"/>
  <c r="A24" i="10"/>
  <c r="A26" i="10"/>
  <c r="A33" i="10" s="1"/>
  <c r="F25" i="1" l="1"/>
  <c r="F24" i="1"/>
  <c r="S28" i="15"/>
  <c r="F11" i="1"/>
  <c r="F6" i="1"/>
  <c r="F9" i="1"/>
  <c r="F7" i="1"/>
  <c r="F10" i="1"/>
  <c r="F8" i="1"/>
  <c r="F5" i="1"/>
  <c r="E16" i="8"/>
  <c r="C41" i="15"/>
  <c r="E39" i="15"/>
  <c r="F39" i="15"/>
  <c r="M38" i="15"/>
  <c r="L21" i="15"/>
  <c r="M21" i="15"/>
  <c r="L38" i="15"/>
  <c r="L38" i="2"/>
  <c r="J39" i="15"/>
  <c r="N39" i="15" s="1"/>
  <c r="Q38" i="15"/>
  <c r="U38" i="15" s="1"/>
  <c r="T37" i="15"/>
  <c r="S37" i="15"/>
  <c r="S33" i="15"/>
  <c r="T33" i="15"/>
  <c r="S13" i="15"/>
  <c r="T13" i="15"/>
  <c r="T28" i="15"/>
  <c r="Q21" i="15"/>
  <c r="U21" i="15" s="1"/>
  <c r="T20" i="15"/>
  <c r="S20" i="15"/>
  <c r="D24" i="10"/>
  <c r="E4" i="5"/>
  <c r="E7" i="5" s="1"/>
  <c r="A27" i="10"/>
  <c r="A34" i="10" s="1"/>
  <c r="E19" i="3"/>
  <c r="E10" i="8"/>
  <c r="E11" i="8" s="1"/>
  <c r="E18" i="3"/>
  <c r="E17" i="3"/>
  <c r="F33" i="1"/>
  <c r="F30" i="1"/>
  <c r="F26" i="1"/>
  <c r="F20" i="1"/>
  <c r="F17" i="1"/>
  <c r="F13" i="1"/>
  <c r="F21" i="1"/>
  <c r="F32" i="1"/>
  <c r="F29" i="1"/>
  <c r="F23" i="1"/>
  <c r="F19" i="1"/>
  <c r="F16" i="1"/>
  <c r="F12" i="1"/>
  <c r="F27" i="1"/>
  <c r="F14" i="1"/>
  <c r="F36" i="1"/>
  <c r="F31" i="1"/>
  <c r="F28" i="1"/>
  <c r="F22" i="1"/>
  <c r="F18" i="1"/>
  <c r="F15" i="1"/>
  <c r="F4" i="1"/>
  <c r="F35" i="1"/>
  <c r="F34" i="1"/>
  <c r="E37" i="1"/>
  <c r="B29" i="10"/>
  <c r="E13" i="3" l="1"/>
  <c r="J41" i="15"/>
  <c r="M39" i="15"/>
  <c r="L39" i="15"/>
  <c r="T21" i="15"/>
  <c r="S21" i="15"/>
  <c r="Q39" i="15"/>
  <c r="U39" i="15" s="1"/>
  <c r="S38" i="15"/>
  <c r="T38" i="15"/>
  <c r="E10" i="5"/>
  <c r="E14" i="3"/>
  <c r="E4" i="3"/>
  <c r="A28" i="10"/>
  <c r="A35" i="10" s="1"/>
  <c r="F37" i="1"/>
  <c r="E39" i="1"/>
  <c r="Q41" i="15" l="1"/>
  <c r="S39" i="15"/>
  <c r="T39" i="15"/>
  <c r="E8" i="8"/>
  <c r="E5" i="3"/>
  <c r="A29" i="10"/>
  <c r="A36" i="10" s="1"/>
  <c r="AB4" i="10"/>
  <c r="AB5" i="10" s="1"/>
  <c r="AB6" i="10" s="1"/>
  <c r="AB7" i="10" s="1"/>
  <c r="C8" i="10"/>
  <c r="D8" i="10"/>
  <c r="E8" i="10"/>
  <c r="F8" i="10"/>
  <c r="G8" i="10"/>
  <c r="B8" i="10"/>
  <c r="A8" i="10"/>
  <c r="A5" i="10"/>
  <c r="H5" i="10" s="1"/>
  <c r="A4" i="10"/>
  <c r="H4" i="10" l="1"/>
  <c r="A1" i="10"/>
  <c r="E8" i="3"/>
  <c r="E7" i="3"/>
  <c r="AB8" i="10"/>
  <c r="T3" i="10"/>
  <c r="T5" i="10"/>
  <c r="T9" i="10"/>
  <c r="T8" i="10"/>
  <c r="T6" i="10"/>
  <c r="T10" i="10"/>
  <c r="T7" i="10"/>
  <c r="T4" i="10"/>
  <c r="C6" i="8"/>
  <c r="D6" i="8"/>
  <c r="C5" i="8"/>
  <c r="J19" i="8" s="1"/>
  <c r="D5" i="8"/>
  <c r="H6" i="8" l="1"/>
  <c r="F5" i="8"/>
  <c r="H5" i="8"/>
  <c r="G5" i="8"/>
  <c r="G6" i="8"/>
  <c r="F6" i="8"/>
  <c r="AB9" i="10"/>
  <c r="U4" i="10"/>
  <c r="V4" i="10" s="1"/>
  <c r="A11" i="10" s="1"/>
  <c r="U8" i="10"/>
  <c r="V8" i="10" s="1"/>
  <c r="U10" i="10"/>
  <c r="V10" i="10" s="1"/>
  <c r="U7" i="10"/>
  <c r="V7" i="10" s="1"/>
  <c r="U5" i="10"/>
  <c r="V5" i="10" s="1"/>
  <c r="U9" i="10"/>
  <c r="V9" i="10" s="1"/>
  <c r="U6" i="10"/>
  <c r="V6" i="10" s="1"/>
  <c r="U3" i="10"/>
  <c r="H11" i="10" l="1"/>
  <c r="A42" i="10"/>
  <c r="AB10" i="10"/>
  <c r="V3" i="10"/>
  <c r="A10" i="10" s="1"/>
  <c r="D45" i="2"/>
  <c r="D35" i="1"/>
  <c r="I35" i="1" s="1"/>
  <c r="D31" i="1"/>
  <c r="I31" i="1" s="1"/>
  <c r="I26" i="1"/>
  <c r="D18" i="1"/>
  <c r="G46" i="10" s="1"/>
  <c r="I18" i="1" l="1"/>
  <c r="D11" i="3"/>
  <c r="D17" i="8"/>
  <c r="H10" i="10"/>
  <c r="A41" i="10"/>
  <c r="D46" i="2"/>
  <c r="D16" i="3"/>
  <c r="K36" i="2"/>
  <c r="F38" i="2"/>
  <c r="H38" i="2"/>
  <c r="G38" i="2"/>
  <c r="F45" i="2"/>
  <c r="G45" i="2"/>
  <c r="H45" i="2"/>
  <c r="F33" i="2"/>
  <c r="G33" i="2"/>
  <c r="H33" i="2"/>
  <c r="D18" i="2"/>
  <c r="D18" i="3" s="1"/>
  <c r="F16" i="2"/>
  <c r="G16" i="2"/>
  <c r="H16" i="2"/>
  <c r="G11" i="10"/>
  <c r="G35" i="1"/>
  <c r="H35" i="1"/>
  <c r="G11" i="1"/>
  <c r="H11" i="1"/>
  <c r="H18" i="1"/>
  <c r="G18" i="1"/>
  <c r="G26" i="1"/>
  <c r="H26" i="1"/>
  <c r="H31" i="1"/>
  <c r="G31" i="1"/>
  <c r="D14" i="8"/>
  <c r="B28" i="10"/>
  <c r="AB11" i="10"/>
  <c r="A7" i="10"/>
  <c r="D36" i="1"/>
  <c r="D12" i="8"/>
  <c r="D13" i="8"/>
  <c r="K34" i="2"/>
  <c r="D12" i="3"/>
  <c r="D10" i="3"/>
  <c r="D19" i="1"/>
  <c r="K33" i="2"/>
  <c r="K35" i="2"/>
  <c r="K37" i="2"/>
  <c r="D9" i="3"/>
  <c r="G5" i="10" l="1"/>
  <c r="I36" i="1"/>
  <c r="G4" i="10"/>
  <c r="I19" i="1"/>
  <c r="H12" i="10"/>
  <c r="H42" i="10" s="1"/>
  <c r="H13" i="8"/>
  <c r="H12" i="8"/>
  <c r="H14" i="8"/>
  <c r="K38" i="2"/>
  <c r="D4" i="5"/>
  <c r="D7" i="5" s="1"/>
  <c r="G36" i="10"/>
  <c r="D19" i="3"/>
  <c r="D17" i="3"/>
  <c r="D10" i="8"/>
  <c r="D11" i="8" s="1"/>
  <c r="G18" i="2"/>
  <c r="F18" i="2"/>
  <c r="H18" i="2"/>
  <c r="G19" i="1"/>
  <c r="H19" i="1"/>
  <c r="H36" i="1"/>
  <c r="G36" i="1"/>
  <c r="G10" i="10"/>
  <c r="G13" i="8"/>
  <c r="F13" i="8"/>
  <c r="F12" i="8"/>
  <c r="G12" i="8"/>
  <c r="F14" i="8"/>
  <c r="G14" i="8"/>
  <c r="AB12" i="10"/>
  <c r="D37" i="1"/>
  <c r="I37" i="1" s="1"/>
  <c r="D15" i="8"/>
  <c r="D16" i="8" s="1"/>
  <c r="G11" i="8" l="1"/>
  <c r="F11" i="8"/>
  <c r="H11" i="8"/>
  <c r="H41" i="10"/>
  <c r="G12" i="10"/>
  <c r="G42" i="10" s="1"/>
  <c r="H16" i="8"/>
  <c r="F16" i="8"/>
  <c r="G16" i="8"/>
  <c r="H15" i="8"/>
  <c r="C16" i="3"/>
  <c r="D10" i="5"/>
  <c r="D14" i="3"/>
  <c r="D4" i="3"/>
  <c r="F10" i="8"/>
  <c r="G10" i="8"/>
  <c r="H37" i="1"/>
  <c r="G37" i="1"/>
  <c r="F15" i="8"/>
  <c r="G15" i="8"/>
  <c r="AB13" i="10"/>
  <c r="D13" i="3"/>
  <c r="D39" i="1"/>
  <c r="G41" i="10" l="1"/>
  <c r="D5" i="3"/>
  <c r="D8" i="8"/>
  <c r="AB14" i="10"/>
  <c r="J33" i="2"/>
  <c r="J35" i="2"/>
  <c r="J37" i="2"/>
  <c r="J36" i="2"/>
  <c r="J34" i="2"/>
  <c r="C45" i="2"/>
  <c r="C31" i="1"/>
  <c r="C46" i="2" l="1"/>
  <c r="J38" i="2"/>
  <c r="AB15" i="10"/>
  <c r="AB16" i="10" s="1"/>
  <c r="AB17" i="10" s="1"/>
  <c r="AB18" i="10" s="1"/>
  <c r="D11" i="10"/>
  <c r="H8" i="8"/>
  <c r="G8" i="8"/>
  <c r="F8" i="8"/>
  <c r="D7" i="3"/>
  <c r="D8" i="3"/>
  <c r="E11" i="10"/>
  <c r="B26" i="10"/>
  <c r="B25" i="10"/>
  <c r="F32" i="10" s="1"/>
  <c r="C12" i="8"/>
  <c r="E4" i="10"/>
  <c r="D4" i="10"/>
  <c r="C35" i="1"/>
  <c r="C18" i="1"/>
  <c r="F46" i="10" s="1"/>
  <c r="G32" i="10" l="1"/>
  <c r="C11" i="3"/>
  <c r="AB19" i="10"/>
  <c r="AE18" i="10"/>
  <c r="C17" i="8"/>
  <c r="G33" i="10"/>
  <c r="E33" i="10" s="1"/>
  <c r="D5" i="10"/>
  <c r="E5" i="10"/>
  <c r="F11" i="10"/>
  <c r="I11" i="10" s="1"/>
  <c r="E10" i="10"/>
  <c r="D10" i="10"/>
  <c r="C9" i="3"/>
  <c r="C13" i="8"/>
  <c r="C12" i="3"/>
  <c r="C14" i="8"/>
  <c r="C10" i="3"/>
  <c r="C18" i="2"/>
  <c r="C36" i="1"/>
  <c r="F10" i="10" s="1"/>
  <c r="I10" i="10" s="1"/>
  <c r="C19" i="1"/>
  <c r="B27" i="10" s="1"/>
  <c r="AB20" i="10" l="1"/>
  <c r="AE19" i="10"/>
  <c r="F12" i="10"/>
  <c r="F41" i="10" s="1"/>
  <c r="D12" i="10"/>
  <c r="D42" i="10" s="1"/>
  <c r="E12" i="10"/>
  <c r="E42" i="10" s="1"/>
  <c r="F4" i="10"/>
  <c r="C4" i="5"/>
  <c r="C7" i="5" s="1"/>
  <c r="G34" i="10"/>
  <c r="G35" i="10"/>
  <c r="E35" i="10" s="1"/>
  <c r="D33" i="10"/>
  <c r="B33" i="10" s="1"/>
  <c r="F5" i="10"/>
  <c r="C15" i="8"/>
  <c r="C16" i="8" s="1"/>
  <c r="C18" i="3"/>
  <c r="C10" i="8"/>
  <c r="C11" i="8" s="1"/>
  <c r="C19" i="3"/>
  <c r="C17" i="3"/>
  <c r="C37" i="1"/>
  <c r="AB21" i="10" l="1"/>
  <c r="AE20" i="10"/>
  <c r="E41" i="10"/>
  <c r="F42" i="10"/>
  <c r="D41" i="10"/>
  <c r="D35" i="10"/>
  <c r="C4" i="3"/>
  <c r="C10" i="5"/>
  <c r="C14" i="3"/>
  <c r="D34" i="10"/>
  <c r="B34" i="10" s="1"/>
  <c r="E34" i="10"/>
  <c r="E36" i="10"/>
  <c r="D36" i="10"/>
  <c r="C39" i="1"/>
  <c r="C13" i="3"/>
  <c r="AB22" i="10" l="1"/>
  <c r="AB23" i="10" s="1"/>
  <c r="AB24" i="10" s="1"/>
  <c r="AB25" i="10" s="1"/>
  <c r="AB26" i="10" s="1"/>
  <c r="AB27" i="10" s="1"/>
  <c r="AE21" i="10"/>
  <c r="AF23" i="10" s="1"/>
  <c r="C8" i="8"/>
  <c r="C5" i="3"/>
  <c r="B35" i="10"/>
  <c r="B36" i="10" s="1"/>
  <c r="C37" i="10" s="1"/>
  <c r="AF19" i="10" l="1"/>
  <c r="AF5" i="10"/>
  <c r="AG5" i="10" s="1"/>
  <c r="AH5" i="10" s="1"/>
  <c r="AF18" i="10"/>
  <c r="AF7" i="10"/>
  <c r="AG7" i="10" s="1"/>
  <c r="A20" i="10" s="1"/>
  <c r="AF27" i="10"/>
  <c r="AF17" i="10"/>
  <c r="AF9" i="10"/>
  <c r="AG9" i="10" s="1"/>
  <c r="AH9" i="10" s="1"/>
  <c r="AF10" i="10"/>
  <c r="AG10" i="10" s="1"/>
  <c r="AH10" i="10" s="1"/>
  <c r="AF20" i="10"/>
  <c r="AF24" i="10"/>
  <c r="AF22" i="10"/>
  <c r="AF6" i="10"/>
  <c r="AG6" i="10" s="1"/>
  <c r="AH6" i="10" s="1"/>
  <c r="AF3" i="10"/>
  <c r="AH3" i="10" s="1"/>
  <c r="AF11" i="10"/>
  <c r="AG11" i="10" s="1"/>
  <c r="AH11" i="10" s="1"/>
  <c r="AF25" i="10"/>
  <c r="AF14" i="10"/>
  <c r="AF4" i="10"/>
  <c r="AG4" i="10" s="1"/>
  <c r="AF16" i="10"/>
  <c r="AF12" i="10"/>
  <c r="AG12" i="10" s="1"/>
  <c r="AH12" i="10" s="1"/>
  <c r="AF13" i="10"/>
  <c r="AG13" i="10" s="1"/>
  <c r="AH13" i="10" s="1"/>
  <c r="AF21" i="10"/>
  <c r="AF15" i="10"/>
  <c r="AG15" i="10" s="1"/>
  <c r="AF8" i="10"/>
  <c r="AG8" i="10" s="1"/>
  <c r="AH8" i="10" s="1"/>
  <c r="AF26" i="10"/>
  <c r="C7" i="3"/>
  <c r="C8" i="3"/>
  <c r="A18" i="10"/>
  <c r="AH4" i="10"/>
  <c r="A17" i="10"/>
  <c r="AH7" i="10"/>
  <c r="A19" i="10" l="1"/>
  <c r="A22" i="10"/>
  <c r="G22" i="10" s="1"/>
  <c r="A21" i="10"/>
  <c r="AI8" i="10"/>
  <c r="AJ8" i="10" s="1"/>
  <c r="AI11" i="10"/>
  <c r="AJ11" i="10" s="1"/>
  <c r="AI13" i="10"/>
  <c r="AJ13" i="10" s="1"/>
  <c r="AI3" i="10"/>
  <c r="AJ3" i="10" s="1"/>
  <c r="AI6" i="10"/>
  <c r="AJ6" i="10" s="1"/>
  <c r="AI12" i="10"/>
  <c r="AJ12" i="10" s="1"/>
  <c r="AI5" i="10"/>
  <c r="AJ5" i="10" s="1"/>
  <c r="G20" i="10"/>
  <c r="H20" i="10"/>
  <c r="F20" i="10"/>
  <c r="H17" i="10"/>
  <c r="G17" i="10"/>
  <c r="F17" i="10"/>
  <c r="F18" i="10"/>
  <c r="H18" i="10"/>
  <c r="G18" i="10"/>
  <c r="AI10" i="10"/>
  <c r="AJ10" i="10" s="1"/>
  <c r="AI9" i="10"/>
  <c r="AJ9" i="10" s="1"/>
  <c r="AI4" i="10"/>
  <c r="AJ4" i="10" s="1"/>
  <c r="AI7" i="10"/>
  <c r="AJ7" i="10" s="1"/>
  <c r="G16" i="10"/>
  <c r="H21" i="10"/>
  <c r="G21" i="10"/>
  <c r="F21" i="10"/>
  <c r="H22" i="10"/>
  <c r="F22" i="10"/>
  <c r="F19" i="10"/>
  <c r="G19" i="10"/>
  <c r="H19" i="10"/>
  <c r="I20" i="10" l="1"/>
  <c r="I17" i="10"/>
  <c r="I18" i="10"/>
  <c r="I19" i="10"/>
  <c r="I21" i="10"/>
  <c r="H16" i="10"/>
  <c r="F16" i="10"/>
  <c r="I16" i="10" s="1"/>
  <c r="I22" i="10"/>
  <c r="J16" i="10" l="1"/>
  <c r="J22" i="10"/>
  <c r="J17" i="10"/>
  <c r="J21" i="10"/>
  <c r="J20" i="10"/>
  <c r="J19" i="10"/>
  <c r="J18" i="10"/>
  <c r="O16" i="10" l="1"/>
  <c r="R16" i="10" s="1"/>
  <c r="O19" i="10"/>
  <c r="R19" i="10" s="1"/>
  <c r="O17" i="10"/>
  <c r="R17" i="10" s="1"/>
  <c r="O18" i="10"/>
  <c r="R18" i="10" s="1"/>
  <c r="O22" i="10"/>
  <c r="R22" i="10" s="1"/>
  <c r="O21" i="10"/>
  <c r="R21" i="10" s="1"/>
  <c r="O20" i="10"/>
  <c r="R20" i="10" s="1"/>
  <c r="R23" i="10" l="1"/>
  <c r="S16" i="10" s="1"/>
  <c r="S18" i="10" l="1"/>
  <c r="S20" i="10"/>
  <c r="S22" i="10"/>
  <c r="S21" i="10"/>
  <c r="O23" i="10"/>
  <c r="S17" i="10"/>
  <c r="S19" i="10"/>
  <c r="H17" i="8"/>
  <c r="F17" i="8"/>
  <c r="G17" i="8"/>
</calcChain>
</file>

<file path=xl/sharedStrings.xml><?xml version="1.0" encoding="utf-8"?>
<sst xmlns="http://schemas.openxmlformats.org/spreadsheetml/2006/main" count="877" uniqueCount="279">
  <si>
    <t>Indicator</t>
  </si>
  <si>
    <t>Imobilizari corporale</t>
  </si>
  <si>
    <t>Property, plant and equipment</t>
  </si>
  <si>
    <t>Investitii imobiliare</t>
  </si>
  <si>
    <t>Investment property</t>
  </si>
  <si>
    <t>Imobilizari necorporale</t>
  </si>
  <si>
    <t>Active financiare</t>
  </si>
  <si>
    <t>Total active pe termen lung</t>
  </si>
  <si>
    <t>Total non-current assets</t>
  </si>
  <si>
    <t>Active imobilizate detinute in vederea vanzarii</t>
  </si>
  <si>
    <t>Stocuri</t>
  </si>
  <si>
    <t>Creante comerciale si alte creante</t>
  </si>
  <si>
    <t>Imprumuturi acordate partilor afiliate</t>
  </si>
  <si>
    <t>Impozite de recuperat</t>
  </si>
  <si>
    <t>Alte active</t>
  </si>
  <si>
    <t>Total active curente</t>
  </si>
  <si>
    <t>Total current assets</t>
  </si>
  <si>
    <t>Total activ</t>
  </si>
  <si>
    <t>Total assets</t>
  </si>
  <si>
    <t>Capital social</t>
  </si>
  <si>
    <t>Issued capital</t>
  </si>
  <si>
    <t>Prime de capital</t>
  </si>
  <si>
    <t>Share premium</t>
  </si>
  <si>
    <t>Rezerve</t>
  </si>
  <si>
    <t>Rezultat reportat</t>
  </si>
  <si>
    <t>Retained earnings</t>
  </si>
  <si>
    <t>Total capitaluri</t>
  </si>
  <si>
    <t>Total Equity</t>
  </si>
  <si>
    <t>Imprumuturi</t>
  </si>
  <si>
    <t>Leasinguri financiare si alte datorii purtatoare de dobanda</t>
  </si>
  <si>
    <t>Datorii privind impozitul amanat</t>
  </si>
  <si>
    <t>Deferred tax liabilities</t>
  </si>
  <si>
    <t>Alte datorii pe termen lung</t>
  </si>
  <si>
    <t>Venituri in avans</t>
  </si>
  <si>
    <t>Total datorii pe termen lung</t>
  </si>
  <si>
    <t>Total non-current liabilities</t>
  </si>
  <si>
    <t>Datorii comerciale</t>
  </si>
  <si>
    <t>Imprumuturi primite de la parti afiliate</t>
  </si>
  <si>
    <t>Total datorii curente</t>
  </si>
  <si>
    <t>Total current liabilities</t>
  </si>
  <si>
    <t>Total datorii</t>
  </si>
  <si>
    <t>Total liabilities</t>
  </si>
  <si>
    <t>Total capitaluri si datorii</t>
  </si>
  <si>
    <t>Total equity and liabilities</t>
  </si>
  <si>
    <t>Income statement</t>
  </si>
  <si>
    <t>Revenue</t>
  </si>
  <si>
    <t>Raw materials and consumables used</t>
  </si>
  <si>
    <t>Depreciation and amortisation expenses</t>
  </si>
  <si>
    <t>Other income</t>
  </si>
  <si>
    <t>Other expenses</t>
  </si>
  <si>
    <t>Profit (pierdere) inaintea impozitarii</t>
  </si>
  <si>
    <t>Profit (loss) before tax</t>
  </si>
  <si>
    <t>Impozit pe profit</t>
  </si>
  <si>
    <t>Venituri din chirii</t>
  </si>
  <si>
    <t xml:space="preserve"> Rental and royalty income </t>
  </si>
  <si>
    <t>Alte venituri</t>
  </si>
  <si>
    <t xml:space="preserve"> - Venituri din prestari servicii</t>
  </si>
  <si>
    <t xml:space="preserve"> - Venituri din vanzari de marfuri</t>
  </si>
  <si>
    <t xml:space="preserve"> - Venituri din alte activitati</t>
  </si>
  <si>
    <t>© ROMCARBON SA</t>
  </si>
  <si>
    <t>Revenue details</t>
  </si>
  <si>
    <t xml:space="preserve"> - Services rendered</t>
  </si>
  <si>
    <t xml:space="preserve"> - Sale of commodities</t>
  </si>
  <si>
    <t xml:space="preserve"> - Revenues from sundry services</t>
  </si>
  <si>
    <t>EBITDA</t>
  </si>
  <si>
    <t>Formula</t>
  </si>
  <si>
    <t>EBIT</t>
  </si>
  <si>
    <t xml:space="preserve">Profit net </t>
  </si>
  <si>
    <t>Cheltuieli cu impozitul pe profit (+)</t>
  </si>
  <si>
    <t>Cheltuieli cu dobanzile (+)</t>
  </si>
  <si>
    <t>Cheltuieli cu amortizarea (+)</t>
  </si>
  <si>
    <t>Venituri din subventii pentru investitii (-)</t>
  </si>
  <si>
    <t>Sales</t>
  </si>
  <si>
    <t>EBITDA to sales ratio</t>
  </si>
  <si>
    <t>EBITDA to Equity ratio</t>
  </si>
  <si>
    <t>Gross profit margin</t>
  </si>
  <si>
    <t>Current ratio</t>
  </si>
  <si>
    <t>Quick ratio</t>
  </si>
  <si>
    <t>Account receivable turnover ratio</t>
  </si>
  <si>
    <t>Account payable turnover ratio</t>
  </si>
  <si>
    <t>Return on assets (ROA)</t>
  </si>
  <si>
    <t>Return on equity (ROE)</t>
  </si>
  <si>
    <t>Return on sales (ROS)</t>
  </si>
  <si>
    <t>Non-current liabilities to Equity ratio</t>
  </si>
  <si>
    <t>Total liabilities to Assets ratio</t>
  </si>
  <si>
    <t>See EBIT-EBITDA</t>
  </si>
  <si>
    <t>EBITDA/Sales</t>
  </si>
  <si>
    <t>EBITDA/Equity</t>
  </si>
  <si>
    <t>Gross profit/Sales</t>
  </si>
  <si>
    <t>Current assets/Current liabilities</t>
  </si>
  <si>
    <t>(Current assets-Inventories)/Current liabilities</t>
  </si>
  <si>
    <t>Non-current liabilities/Equity</t>
  </si>
  <si>
    <t>Total liabilities/Total Assets</t>
  </si>
  <si>
    <t>EBIT/Interest expenses</t>
  </si>
  <si>
    <t>Average receivables/Sales</t>
  </si>
  <si>
    <t>Average payables/Sales</t>
  </si>
  <si>
    <t>Net profit/Assets</t>
  </si>
  <si>
    <t>Net profit/Equity</t>
  </si>
  <si>
    <t>Net profit/Sales</t>
  </si>
  <si>
    <t xml:space="preserve">Net profit </t>
  </si>
  <si>
    <t>Profit tax (+)</t>
  </si>
  <si>
    <t>Expenses with interests (+)</t>
  </si>
  <si>
    <t>Depreciation(+)</t>
  </si>
  <si>
    <t>Revenues from subsidies for investment (-)</t>
  </si>
  <si>
    <t>Weights in Revenue</t>
  </si>
  <si>
    <r>
      <rPr>
        <b/>
        <u/>
        <sz val="11"/>
        <rFont val="Candara"/>
        <family val="2"/>
      </rPr>
      <t>Note:</t>
    </r>
    <r>
      <rPr>
        <b/>
        <sz val="11"/>
        <rFont val="Candara"/>
        <family val="2"/>
      </rPr>
      <t xml:space="preserve"> </t>
    </r>
    <r>
      <rPr>
        <i/>
        <sz val="11"/>
        <rFont val="Candara"/>
        <family val="2"/>
      </rPr>
      <t>This document has been prepared for information purpose.</t>
    </r>
    <r>
      <rPr>
        <b/>
        <sz val="11"/>
        <rFont val="Candara"/>
        <family val="2"/>
      </rPr>
      <t xml:space="preserve">
</t>
    </r>
  </si>
  <si>
    <t xml:space="preserve">Revenue +  Rental and royalty income </t>
  </si>
  <si>
    <t>Net profit</t>
  </si>
  <si>
    <t>Non-Current assets</t>
  </si>
  <si>
    <t>Current assets</t>
  </si>
  <si>
    <t>Total Liabilities</t>
  </si>
  <si>
    <t>Item</t>
  </si>
  <si>
    <t>Buzau, 132 Transilvaniei street</t>
  </si>
  <si>
    <t>Phone : +40(0)238 711 155</t>
  </si>
  <si>
    <t>Fax: +40(0)238 710 697</t>
  </si>
  <si>
    <t>investor.relations@romcarbon.com</t>
  </si>
  <si>
    <t>Postal code: 120012</t>
  </si>
  <si>
    <t>In this file all the amounts are expressed in lei.</t>
  </si>
  <si>
    <t>Interest coverage ratio</t>
  </si>
  <si>
    <t>Note: In EBIT and EBITDA are included also the non-repeating elements suchs as dividends, sales of assets, others.</t>
  </si>
  <si>
    <t>Liabilities</t>
  </si>
  <si>
    <t>Assets</t>
  </si>
  <si>
    <t>List1</t>
  </si>
  <si>
    <t>List2</t>
  </si>
  <si>
    <t>Borrowings</t>
  </si>
  <si>
    <t>List3</t>
  </si>
  <si>
    <t>Non-current assets</t>
  </si>
  <si>
    <t>Non-current liabilities</t>
  </si>
  <si>
    <t>Current liabilities</t>
  </si>
  <si>
    <t>Equity</t>
  </si>
  <si>
    <t>Equity&amp;Liabilities</t>
  </si>
  <si>
    <t>Start</t>
  </si>
  <si>
    <t>Base</t>
  </si>
  <si>
    <t>End</t>
  </si>
  <si>
    <t>Down</t>
  </si>
  <si>
    <t>Up</t>
  </si>
  <si>
    <t>Net</t>
  </si>
  <si>
    <t>Date</t>
  </si>
  <si>
    <t>Rank</t>
  </si>
  <si>
    <t>Pozitie</t>
  </si>
  <si>
    <t>Center</t>
  </si>
  <si>
    <t>Value</t>
  </si>
  <si>
    <t>%</t>
  </si>
  <si>
    <t>Revenue (Sales)</t>
  </si>
  <si>
    <t>www.romcarbon.com</t>
  </si>
  <si>
    <t xml:space="preserve"> - Sales of finished goods</t>
  </si>
  <si>
    <t>Period</t>
  </si>
  <si>
    <t>HalfYear</t>
  </si>
  <si>
    <t>Year</t>
  </si>
  <si>
    <t>Total Sales, out of which:</t>
  </si>
  <si>
    <t>List5</t>
  </si>
  <si>
    <t>January 01,</t>
  </si>
  <si>
    <t>No. of days</t>
  </si>
  <si>
    <t>Variation</t>
  </si>
  <si>
    <t>Days</t>
  </si>
  <si>
    <t>Select the year &gt;&gt;&gt;</t>
  </si>
  <si>
    <t>Select the 1st comparison item &gt;&gt;&gt;</t>
  </si>
  <si>
    <t>Select the 2nd comparison item &gt;&gt;&gt;</t>
  </si>
  <si>
    <t>Select the item &gt;&gt;&gt;</t>
  </si>
  <si>
    <t>Weights in Sales</t>
  </si>
  <si>
    <t>The source of the financial information is the company reports.</t>
  </si>
  <si>
    <t>Debt ratio</t>
  </si>
  <si>
    <t>Current liquidity</t>
  </si>
  <si>
    <t>EBITDA Operational</t>
  </si>
  <si>
    <r>
      <rPr>
        <b/>
        <u/>
        <sz val="11"/>
        <color theme="1"/>
        <rFont val="Candara"/>
        <family val="2"/>
      </rPr>
      <t>EBITDA operational</t>
    </r>
    <r>
      <rPr>
        <sz val="11"/>
        <color theme="1"/>
        <rFont val="Candara"/>
        <family val="2"/>
      </rPr>
      <t xml:space="preserve"> is calculated only for operational activity, excluding the depreciation, sales of non-current assests, non-repeating elements and financial activity.</t>
    </r>
  </si>
  <si>
    <r>
      <t xml:space="preserve">Note: </t>
    </r>
    <r>
      <rPr>
        <b/>
        <u/>
        <sz val="11"/>
        <color theme="1"/>
        <rFont val="Candara"/>
        <family val="2"/>
      </rPr>
      <t>EBITDA</t>
    </r>
    <r>
      <rPr>
        <sz val="11"/>
        <color theme="1"/>
        <rFont val="Candara"/>
        <family val="2"/>
      </rPr>
      <t xml:space="preserve"> is calculated starting with the net profit and includes also the non-repeating elements suchs as dividends, sales of assets, others.</t>
    </r>
  </si>
  <si>
    <t>Intangible assets other than goodwill</t>
  </si>
  <si>
    <t>Investments in subsidiaries, joint ventures and associates</t>
  </si>
  <si>
    <t>Active imobilizante detinute in vederea vanzarii</t>
  </si>
  <si>
    <t>Non-current assets or disposal groups classified as held for sale or as held for distribution to owners</t>
  </si>
  <si>
    <t>Current inventories</t>
  </si>
  <si>
    <t>Trade and other current receivables</t>
  </si>
  <si>
    <t>Other current financial assets</t>
  </si>
  <si>
    <t>Other current non-financial assets</t>
  </si>
  <si>
    <t>Cash and cash equivalents</t>
  </si>
  <si>
    <t>Other reserves</t>
  </si>
  <si>
    <t xml:space="preserve">Datorii comerciale </t>
  </si>
  <si>
    <t>Alte datorii financiare curente</t>
  </si>
  <si>
    <t>Other current financial liabilities</t>
  </si>
  <si>
    <t>Alte datorii nefinanciare curente</t>
  </si>
  <si>
    <t>Other current non-financial liabilities</t>
  </si>
  <si>
    <t>Alte datorii financiare pe termen lung</t>
  </si>
  <si>
    <t>Other non-current financial liabilities</t>
  </si>
  <si>
    <t>Other non-current non-financial liabilities</t>
  </si>
  <si>
    <t>Venituri</t>
  </si>
  <si>
    <t>Other Income</t>
  </si>
  <si>
    <t xml:space="preserve">Variatia stocurilor </t>
  </si>
  <si>
    <t>Increase (decrease) in inventories of finished goods and work in progress</t>
  </si>
  <si>
    <t xml:space="preserve">Cheltuieli cu materiile prime si consumabile </t>
  </si>
  <si>
    <t xml:space="preserve">Cheltuieli cu salariile si beneficiile angajatilor </t>
  </si>
  <si>
    <t xml:space="preserve">Cheltuieli cu deprecierea si amortizarea activelor </t>
  </si>
  <si>
    <t>Cheltuieli operationale</t>
  </si>
  <si>
    <t xml:space="preserve">Alte castiguri sau pierderi </t>
  </si>
  <si>
    <t>Profit (pierdere) din activitati operationale</t>
  </si>
  <si>
    <t>Profit (loss) from operating activities</t>
  </si>
  <si>
    <t>Venituri financiare</t>
  </si>
  <si>
    <t>Finance Income</t>
  </si>
  <si>
    <t>Cheltuieli financiare</t>
  </si>
  <si>
    <t>Other income details</t>
  </si>
  <si>
    <t>Fond comercial</t>
  </si>
  <si>
    <t>Goodwill</t>
  </si>
  <si>
    <t>Imobilizari necorporale, altele decat fondul comercial</t>
  </si>
  <si>
    <t>Titluri puse in echivalenta</t>
  </si>
  <si>
    <t>Investments accounted for using equity method</t>
  </si>
  <si>
    <t>Actiuni detinute la entitatile afiliate, la entitatile asociate sau la entitatile controlate in comun</t>
  </si>
  <si>
    <t>Alte active financiare pe termen lung</t>
  </si>
  <si>
    <t>Other financial non-current assets</t>
  </si>
  <si>
    <t>Active pe termen lung</t>
  </si>
  <si>
    <t>Stocuri curente</t>
  </si>
  <si>
    <t xml:space="preserve">Alte active curente financiare </t>
  </si>
  <si>
    <t>Alte active curente</t>
  </si>
  <si>
    <t>Numerar şi conturi bancare</t>
  </si>
  <si>
    <t>Active curente</t>
  </si>
  <si>
    <t>Activ</t>
  </si>
  <si>
    <t>Total asset</t>
  </si>
  <si>
    <t>Prime de emisiune</t>
  </si>
  <si>
    <t>Capital propriu atribuibil detinătorilor de capital propriu ai societatii mamă</t>
  </si>
  <si>
    <t>Equity attributable to equity holders of the parent</t>
  </si>
  <si>
    <t>Interese minoritare</t>
  </si>
  <si>
    <t>Non-controlling interests</t>
  </si>
  <si>
    <t>Capitaluri</t>
  </si>
  <si>
    <t>Total equity</t>
  </si>
  <si>
    <t>Alte datorii privind provizioane pe termen lung</t>
  </si>
  <si>
    <t>Other non-current provisions</t>
  </si>
  <si>
    <t xml:space="preserve">Datorii privind impozitul amanat </t>
  </si>
  <si>
    <t>Alte datorii  nefinanciare pe termen lung</t>
  </si>
  <si>
    <t>Datorii pe termen lung</t>
  </si>
  <si>
    <t>Trade and other current payables</t>
  </si>
  <si>
    <t>Datorii curente</t>
  </si>
  <si>
    <t>Datorii</t>
  </si>
  <si>
    <t>Capitaluri si datorii</t>
  </si>
  <si>
    <t>Total Equity and liabilities</t>
  </si>
  <si>
    <t>Employee benefits expense</t>
  </si>
  <si>
    <t>Other gains (losses)</t>
  </si>
  <si>
    <t>Finance costs</t>
  </si>
  <si>
    <t>Venituri din asociati</t>
  </si>
  <si>
    <t>Share of profit (loss) of associates and joint ventures accounted for using equity method</t>
  </si>
  <si>
    <t>Profit / (loss) before tax</t>
  </si>
  <si>
    <t>Tax income (expense)</t>
  </si>
  <si>
    <t>Profitul/pierderea anului, atribuibil:</t>
  </si>
  <si>
    <t>Profit (loss) of the year, attributable to</t>
  </si>
  <si>
    <t>Equity holders of the parent</t>
  </si>
  <si>
    <t>Minority interest PL</t>
  </si>
  <si>
    <t>Profitul/Pierderea anului</t>
  </si>
  <si>
    <t>Profit (loss) from continuing operations</t>
  </si>
  <si>
    <t>Diferente de conversie aferente operatiunilor externe</t>
  </si>
  <si>
    <t>Differences from foreign operations</t>
  </si>
  <si>
    <t>Pierderi nete din reevaluarea imobilizarilor corporale</t>
  </si>
  <si>
    <t>Loss/gain from revaluation of fixed assets</t>
  </si>
  <si>
    <t>Impozitul amanat aferent rezultatului global</t>
  </si>
  <si>
    <t>Deffered profit tax alocated to the comprehensive income</t>
  </si>
  <si>
    <t>Rezultat global, atribuibil:</t>
  </si>
  <si>
    <t>Comprehensive income of the year, attributable to</t>
  </si>
  <si>
    <t>Comprehensive income : Equity holders of the parent</t>
  </si>
  <si>
    <t>Comprehensive income : Minority interest PL</t>
  </si>
  <si>
    <t>Rezultat global: Detinatorilor de capital propriu ai societatii mama</t>
  </si>
  <si>
    <t>Rezultat global: Interese minoritare</t>
  </si>
  <si>
    <t>Comparison with the beginning of the year for the last 3 periods</t>
  </si>
  <si>
    <t xml:space="preserve"> - Sales of intermediary goods and residual products</t>
  </si>
  <si>
    <t xml:space="preserve"> - Venituri din vanzari de produse finite</t>
  </si>
  <si>
    <t xml:space="preserve"> - Venituri din vanzari de semifabricate si produse reziduale</t>
  </si>
  <si>
    <t>Share of profit (loss) of associates (Romgreen Universal (Green-Group))</t>
  </si>
  <si>
    <t>n/a</t>
  </si>
  <si>
    <t xml:space="preserve">Net profit without the impact of Share of profit / loss of associates [Green-Group]     </t>
  </si>
  <si>
    <t xml:space="preserve">CONSOLIDATED FINANCIAL DATA  (IFRS - EU) - 3rdQuarter </t>
  </si>
  <si>
    <t>@ 9 Months</t>
  </si>
  <si>
    <t>Semestrul1</t>
  </si>
  <si>
    <t>Profit : Detinatorilor de capital propriu ai societatii mama</t>
  </si>
  <si>
    <t>Profit: Interese minoritare</t>
  </si>
  <si>
    <t>9 Months 2019</t>
  </si>
  <si>
    <t>9 Months 2020</t>
  </si>
  <si>
    <t>9 Months 2021</t>
  </si>
  <si>
    <t>30.09.17</t>
  </si>
  <si>
    <t>30.09.18</t>
  </si>
  <si>
    <t>30.09.19</t>
  </si>
  <si>
    <t>30.09.20</t>
  </si>
  <si>
    <t>30.09.21</t>
  </si>
  <si>
    <t>30 September</t>
  </si>
  <si>
    <t>September 30,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</si>
</sst>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#,##0\ &quot;lei&quot;;\-#,##0\ &quot;lei&quot;"/>
    <numFmt numFmtId="43" formatCode="_-* #,##0.00_-;\-* #,##0.00_-;_-* &quot;-&quot;??_-;_-@_-"/>
    <numFmt numFmtId="164" formatCode="_(* #,##0_);_(* \(#,##0\);_(* &quot;-&quot;_);_(@_)"/>
    <numFmt numFmtId="165" formatCode="_-* #,##0\ _l_e_i_-;\-* #,##0\ _l_e_i_-;_-* &quot;-&quot;??\ _l_e_i_-;_-@_-"/>
    <numFmt numFmtId="166" formatCode="_(* #,##0.00_);_(* \(#,##0.00\);_(* &quot;-&quot;_);_(@_)"/>
    <numFmt numFmtId="167" formatCode="_-* #,##0_-;\-* #,##0_-;_-* &quot;-&quot;??_-;_-@_-"/>
    <numFmt numFmtId="168" formatCode="_-* #,##0.00\ _l_e_i_-;\-* #,##0.00\ _l_e_i_-;_-* &quot;-&quot;??\ _l_e_i_-;_-@_-"/>
    <numFmt numFmtId="169" formatCode="#,##0.0000000_ ;\-#,##0.0000000\ 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ndara"/>
      <family val="2"/>
    </font>
    <font>
      <sz val="11"/>
      <color theme="1"/>
      <name val="Candara"/>
      <family val="2"/>
    </font>
    <font>
      <sz val="11"/>
      <color theme="1"/>
      <name val="Candar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ndara"/>
      <family val="2"/>
    </font>
    <font>
      <b/>
      <sz val="10.5"/>
      <name val="Candara"/>
      <family val="2"/>
    </font>
    <font>
      <sz val="10.5"/>
      <name val="Candara"/>
      <family val="2"/>
    </font>
    <font>
      <sz val="11"/>
      <name val="Candara"/>
      <family val="2"/>
    </font>
    <font>
      <b/>
      <sz val="11"/>
      <name val="Candara"/>
      <family val="2"/>
    </font>
    <font>
      <i/>
      <sz val="11"/>
      <name val="Candara"/>
      <family val="2"/>
    </font>
    <font>
      <sz val="11"/>
      <color theme="3" tint="-0.499984740745262"/>
      <name val="Candara"/>
      <family val="2"/>
    </font>
    <font>
      <b/>
      <sz val="11"/>
      <color theme="3" tint="-0.499984740745262"/>
      <name val="Candara"/>
      <family val="2"/>
    </font>
    <font>
      <b/>
      <i/>
      <sz val="11"/>
      <name val="Candara"/>
      <family val="2"/>
    </font>
    <font>
      <i/>
      <sz val="11"/>
      <color theme="1"/>
      <name val="Candara"/>
      <family val="2"/>
    </font>
    <font>
      <b/>
      <sz val="11"/>
      <color theme="0"/>
      <name val="Candara"/>
      <family val="2"/>
    </font>
    <font>
      <sz val="11"/>
      <color theme="0"/>
      <name val="Candara"/>
      <family val="2"/>
    </font>
    <font>
      <b/>
      <sz val="10.5"/>
      <color theme="0"/>
      <name val="Candara"/>
      <family val="2"/>
    </font>
    <font>
      <sz val="10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8"/>
      <color indexed="8"/>
      <name val="Trebuchet MS"/>
      <family val="2"/>
    </font>
    <font>
      <b/>
      <sz val="18"/>
      <color theme="1"/>
      <name val="Candara"/>
      <family val="2"/>
    </font>
    <font>
      <b/>
      <sz val="11"/>
      <color theme="1"/>
      <name val="Candara"/>
      <family val="2"/>
    </font>
    <font>
      <sz val="11"/>
      <color theme="1"/>
      <name val="Calibri"/>
      <family val="2"/>
    </font>
    <font>
      <b/>
      <sz val="13.5"/>
      <color theme="1"/>
      <name val="Garamond"/>
      <family val="1"/>
    </font>
    <font>
      <sz val="14"/>
      <color theme="3" tint="-0.499984740745262"/>
      <name val="Candara"/>
      <family val="2"/>
    </font>
    <font>
      <u/>
      <sz val="14"/>
      <color theme="3" tint="-0.499984740745262"/>
      <name val="Candara"/>
      <family val="2"/>
    </font>
    <font>
      <b/>
      <u/>
      <sz val="11"/>
      <name val="Candara"/>
      <family val="2"/>
    </font>
    <font>
      <sz val="11"/>
      <name val="Calibri"/>
      <family val="2"/>
      <scheme val="minor"/>
    </font>
    <font>
      <i/>
      <sz val="10.5"/>
      <name val="Candara"/>
      <family val="2"/>
    </font>
    <font>
      <sz val="11"/>
      <color theme="3" tint="-0.249977111117893"/>
      <name val="Candara"/>
      <family val="2"/>
    </font>
    <font>
      <b/>
      <sz val="11"/>
      <color theme="3" tint="-0.249977111117893"/>
      <name val="Candara"/>
      <family val="2"/>
    </font>
    <font>
      <sz val="11"/>
      <color theme="3" tint="-0.249977111117893"/>
      <name val="Calibri"/>
      <family val="2"/>
      <scheme val="minor"/>
    </font>
    <font>
      <sz val="11.5"/>
      <color theme="1"/>
      <name val="Candara"/>
      <family val="2"/>
    </font>
    <font>
      <sz val="11.5"/>
      <color theme="0"/>
      <name val="Candara"/>
      <family val="2"/>
    </font>
    <font>
      <sz val="11.5"/>
      <color theme="1"/>
      <name val="Calibri"/>
      <family val="2"/>
      <scheme val="minor"/>
    </font>
    <font>
      <sz val="11"/>
      <color rgb="FFC00000"/>
      <name val="Candara"/>
      <family val="2"/>
    </font>
    <font>
      <b/>
      <sz val="16"/>
      <color theme="1"/>
      <name val="Candara"/>
      <family val="2"/>
    </font>
    <font>
      <b/>
      <sz val="12"/>
      <color theme="1"/>
      <name val="Candara"/>
      <family val="2"/>
    </font>
    <font>
      <i/>
      <sz val="11"/>
      <color theme="3" tint="-0.249977111117893"/>
      <name val="Candara"/>
      <family val="2"/>
    </font>
    <font>
      <i/>
      <u/>
      <sz val="11"/>
      <color theme="3" tint="-0.249977111117893"/>
      <name val="Candara"/>
      <family val="2"/>
    </font>
    <font>
      <i/>
      <sz val="10"/>
      <color theme="1"/>
      <name val="Candara"/>
      <family val="2"/>
    </font>
    <font>
      <sz val="12"/>
      <color theme="1"/>
      <name val="Candara"/>
      <family val="2"/>
    </font>
    <font>
      <b/>
      <i/>
      <sz val="10"/>
      <color theme="3" tint="-0.499984740745262"/>
      <name val="Candara"/>
      <family val="2"/>
    </font>
    <font>
      <u/>
      <sz val="11"/>
      <name val="Candara"/>
      <family val="2"/>
    </font>
    <font>
      <b/>
      <u/>
      <sz val="11"/>
      <color theme="1"/>
      <name val="Candara"/>
      <family val="2"/>
    </font>
    <font>
      <b/>
      <sz val="11.5"/>
      <name val="Candara"/>
      <family val="2"/>
    </font>
    <font>
      <b/>
      <sz val="9"/>
      <name val="Verdana"/>
      <family val="2"/>
      <charset val="238"/>
    </font>
    <font>
      <b/>
      <sz val="11"/>
      <name val="Candara"/>
      <family val="2"/>
      <charset val="238"/>
    </font>
    <font>
      <b/>
      <sz val="10"/>
      <name val="Candara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DashDot">
        <color theme="9" tint="-0.499984740745262"/>
      </top>
      <bottom style="mediumDashDot">
        <color theme="9" tint="-0.499984740745262"/>
      </bottom>
      <diagonal/>
    </border>
    <border>
      <left/>
      <right style="mediumDashDot">
        <color theme="9" tint="-0.499984740745262"/>
      </right>
      <top style="mediumDashDot">
        <color theme="9" tint="-0.499984740745262"/>
      </top>
      <bottom style="mediumDashDot">
        <color theme="9" tint="-0.499984740745262"/>
      </bottom>
      <diagonal/>
    </border>
    <border>
      <left style="mediumDashDot">
        <color theme="9" tint="-0.499984740745262"/>
      </left>
      <right/>
      <top style="mediumDashDot">
        <color theme="9" tint="-0.499984740745262"/>
      </top>
      <bottom style="mediumDashDot">
        <color theme="9" tint="-0.499984740745262"/>
      </bottom>
      <diagonal/>
    </border>
  </borders>
  <cellStyleXfs count="7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0" fontId="5" fillId="0" borderId="0"/>
    <xf numFmtId="0" fontId="20" fillId="0" borderId="0" applyNumberFormat="0" applyFill="0" applyBorder="0" applyAlignment="0" applyProtection="0"/>
    <xf numFmtId="0" fontId="21" fillId="5" borderId="3" applyNumberFormat="0" applyBorder="0" applyProtection="0">
      <alignment vertical="center"/>
    </xf>
  </cellStyleXfs>
  <cellXfs count="214">
    <xf numFmtId="0" fontId="0" fillId="0" borderId="0" xfId="0"/>
    <xf numFmtId="0" fontId="6" fillId="0" borderId="0" xfId="0" applyFont="1"/>
    <xf numFmtId="164" fontId="8" fillId="2" borderId="0" xfId="3" applyNumberFormat="1" applyFont="1" applyFill="1" applyBorder="1" applyAlignment="1">
      <alignment vertical="center"/>
    </xf>
    <xf numFmtId="164" fontId="8" fillId="2" borderId="0" xfId="3" applyNumberFormat="1" applyFont="1" applyFill="1" applyBorder="1" applyAlignment="1">
      <alignment vertical="top" wrapText="1"/>
    </xf>
    <xf numFmtId="164" fontId="7" fillId="2" borderId="1" xfId="3" applyNumberFormat="1" applyFont="1" applyFill="1" applyBorder="1" applyAlignment="1">
      <alignment vertical="center"/>
    </xf>
    <xf numFmtId="3" fontId="7" fillId="2" borderId="1" xfId="0" applyNumberFormat="1" applyFont="1" applyFill="1" applyBorder="1"/>
    <xf numFmtId="10" fontId="7" fillId="2" borderId="1" xfId="2" applyNumberFormat="1" applyFont="1" applyFill="1" applyBorder="1"/>
    <xf numFmtId="164" fontId="8" fillId="2" borderId="0" xfId="0" applyNumberFormat="1" applyFont="1" applyFill="1" applyBorder="1"/>
    <xf numFmtId="164" fontId="9" fillId="2" borderId="0" xfId="4" applyNumberFormat="1" applyFont="1" applyFill="1" applyAlignment="1">
      <alignment vertical="center"/>
    </xf>
    <xf numFmtId="3" fontId="9" fillId="2" borderId="0" xfId="0" applyNumberFormat="1" applyFont="1" applyFill="1"/>
    <xf numFmtId="0" fontId="9" fillId="2" borderId="0" xfId="0" applyFont="1" applyFill="1"/>
    <xf numFmtId="165" fontId="9" fillId="2" borderId="0" xfId="1" applyNumberFormat="1" applyFont="1" applyFill="1"/>
    <xf numFmtId="164" fontId="10" fillId="2" borderId="1" xfId="3" applyNumberFormat="1" applyFont="1" applyFill="1" applyBorder="1" applyAlignment="1">
      <alignment vertical="center"/>
    </xf>
    <xf numFmtId="164" fontId="9" fillId="2" borderId="0" xfId="3" applyNumberFormat="1" applyFont="1" applyFill="1" applyAlignment="1">
      <alignment wrapText="1"/>
    </xf>
    <xf numFmtId="9" fontId="9" fillId="2" borderId="0" xfId="2" applyFont="1" applyFill="1"/>
    <xf numFmtId="164" fontId="9" fillId="2" borderId="0" xfId="3" applyNumberFormat="1" applyFont="1" applyFill="1" applyAlignment="1">
      <alignment vertical="center"/>
    </xf>
    <xf numFmtId="3" fontId="10" fillId="2" borderId="1" xfId="0" applyNumberFormat="1" applyFont="1" applyFill="1" applyBorder="1"/>
    <xf numFmtId="9" fontId="9" fillId="2" borderId="1" xfId="2" applyFont="1" applyFill="1" applyBorder="1"/>
    <xf numFmtId="164" fontId="9" fillId="2" borderId="0" xfId="3" applyNumberFormat="1" applyFont="1" applyFill="1" applyAlignment="1">
      <alignment vertical="top" wrapText="1"/>
    </xf>
    <xf numFmtId="3" fontId="9" fillId="2" borderId="0" xfId="0" applyNumberFormat="1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12" fillId="0" borderId="0" xfId="0" applyFont="1"/>
    <xf numFmtId="0" fontId="9" fillId="0" borderId="0" xfId="0" applyFont="1"/>
    <xf numFmtId="164" fontId="11" fillId="2" borderId="0" xfId="3" applyNumberFormat="1" applyFont="1" applyFill="1" applyAlignment="1">
      <alignment vertical="center"/>
    </xf>
    <xf numFmtId="164" fontId="14" fillId="2" borderId="1" xfId="3" applyNumberFormat="1" applyFont="1" applyFill="1" applyBorder="1" applyAlignment="1">
      <alignment vertical="center"/>
    </xf>
    <xf numFmtId="0" fontId="15" fillId="0" borderId="0" xfId="0" applyFont="1"/>
    <xf numFmtId="164" fontId="13" fillId="2" borderId="2" xfId="3" applyNumberFormat="1" applyFont="1" applyFill="1" applyBorder="1" applyAlignment="1">
      <alignment vertical="center"/>
    </xf>
    <xf numFmtId="165" fontId="13" fillId="2" borderId="2" xfId="1" applyNumberFormat="1" applyFont="1" applyFill="1" applyBorder="1" applyAlignment="1">
      <alignment horizontal="right"/>
    </xf>
    <xf numFmtId="9" fontId="12" fillId="2" borderId="2" xfId="2" applyFont="1" applyFill="1" applyBorder="1"/>
    <xf numFmtId="164" fontId="18" fillId="4" borderId="1" xfId="3" applyNumberFormat="1" applyFont="1" applyFill="1" applyBorder="1" applyAlignment="1">
      <alignment vertical="center" wrapText="1"/>
    </xf>
    <xf numFmtId="0" fontId="17" fillId="0" borderId="0" xfId="0" applyFont="1"/>
    <xf numFmtId="3" fontId="6" fillId="0" borderId="0" xfId="0" applyNumberFormat="1" applyFont="1"/>
    <xf numFmtId="164" fontId="10" fillId="2" borderId="0" xfId="3" applyNumberFormat="1" applyFont="1" applyFill="1" applyAlignment="1">
      <alignment vertical="center"/>
    </xf>
    <xf numFmtId="10" fontId="9" fillId="2" borderId="0" xfId="2" applyNumberFormat="1" applyFont="1" applyFill="1" applyAlignment="1">
      <alignment horizontal="right" wrapText="1"/>
    </xf>
    <xf numFmtId="166" fontId="9" fillId="2" borderId="0" xfId="3" applyNumberFormat="1" applyFont="1" applyFill="1" applyAlignment="1">
      <alignment horizontal="right" wrapText="1"/>
    </xf>
    <xf numFmtId="9" fontId="9" fillId="2" borderId="0" xfId="2" applyFont="1" applyFill="1" applyAlignment="1">
      <alignment horizontal="right" wrapText="1"/>
    </xf>
    <xf numFmtId="164" fontId="9" fillId="2" borderId="0" xfId="3" applyNumberFormat="1" applyFont="1" applyFill="1" applyAlignment="1">
      <alignment horizontal="right" wrapText="1"/>
    </xf>
    <xf numFmtId="0" fontId="6" fillId="0" borderId="0" xfId="0" applyFont="1" applyAlignment="1">
      <alignment vertical="center"/>
    </xf>
    <xf numFmtId="164" fontId="9" fillId="2" borderId="1" xfId="3" applyNumberFormat="1" applyFont="1" applyFill="1" applyBorder="1" applyAlignment="1">
      <alignment wrapText="1"/>
    </xf>
    <xf numFmtId="10" fontId="8" fillId="2" borderId="1" xfId="2" applyNumberFormat="1" applyFont="1" applyFill="1" applyBorder="1"/>
    <xf numFmtId="0" fontId="3" fillId="0" borderId="0" xfId="0" applyFont="1"/>
    <xf numFmtId="0" fontId="3" fillId="6" borderId="0" xfId="0" applyFont="1" applyFill="1"/>
    <xf numFmtId="0" fontId="3" fillId="8" borderId="0" xfId="0" applyFont="1" applyFill="1"/>
    <xf numFmtId="0" fontId="3" fillId="7" borderId="0" xfId="0" applyFont="1" applyFill="1" applyAlignment="1"/>
    <xf numFmtId="0" fontId="3" fillId="0" borderId="0" xfId="0" applyFont="1" applyAlignment="1">
      <alignment horizontal="center"/>
    </xf>
    <xf numFmtId="167" fontId="3" fillId="0" borderId="0" xfId="1" applyNumberFormat="1" applyFont="1"/>
    <xf numFmtId="167" fontId="3" fillId="0" borderId="0" xfId="0" applyNumberFormat="1" applyFont="1" applyAlignment="1">
      <alignment horizontal="center"/>
    </xf>
    <xf numFmtId="165" fontId="2" fillId="2" borderId="0" xfId="1" applyNumberFormat="1" applyFont="1" applyFill="1"/>
    <xf numFmtId="3" fontId="9" fillId="2" borderId="1" xfId="0" applyNumberFormat="1" applyFont="1" applyFill="1" applyBorder="1"/>
    <xf numFmtId="3" fontId="10" fillId="2" borderId="2" xfId="0" applyNumberFormat="1" applyFont="1" applyFill="1" applyBorder="1"/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6" fillId="0" borderId="0" xfId="0" applyFont="1"/>
    <xf numFmtId="0" fontId="37" fillId="0" borderId="0" xfId="0" applyFont="1"/>
    <xf numFmtId="0" fontId="1" fillId="0" borderId="0" xfId="0" applyFont="1"/>
    <xf numFmtId="0" fontId="1" fillId="6" borderId="0" xfId="0" applyFont="1" applyFill="1"/>
    <xf numFmtId="167" fontId="3" fillId="0" borderId="0" xfId="0" applyNumberFormat="1" applyFont="1"/>
    <xf numFmtId="10" fontId="8" fillId="2" borderId="0" xfId="2" applyNumberFormat="1" applyFont="1" applyFill="1"/>
    <xf numFmtId="3" fontId="8" fillId="2" borderId="0" xfId="0" applyNumberFormat="1" applyFont="1" applyFill="1"/>
    <xf numFmtId="164" fontId="9" fillId="2" borderId="0" xfId="2" applyNumberFormat="1" applyFont="1" applyFill="1"/>
    <xf numFmtId="43" fontId="3" fillId="0" borderId="0" xfId="1" applyFont="1"/>
    <xf numFmtId="0" fontId="3" fillId="8" borderId="0" xfId="0" applyFont="1" applyFill="1" applyAlignment="1">
      <alignment horizontal="center"/>
    </xf>
    <xf numFmtId="167" fontId="3" fillId="8" borderId="0" xfId="0" applyNumberFormat="1" applyFont="1" applyFill="1"/>
    <xf numFmtId="167" fontId="1" fillId="0" borderId="0" xfId="1" applyNumberFormat="1" applyFont="1"/>
    <xf numFmtId="167" fontId="1" fillId="0" borderId="0" xfId="0" applyNumberFormat="1" applyFont="1"/>
    <xf numFmtId="167" fontId="9" fillId="0" borderId="0" xfId="1" applyNumberFormat="1" applyFont="1"/>
    <xf numFmtId="9" fontId="9" fillId="0" borderId="0" xfId="2" applyFont="1"/>
    <xf numFmtId="168" fontId="6" fillId="0" borderId="0" xfId="0" applyNumberFormat="1" applyFont="1"/>
    <xf numFmtId="0" fontId="23" fillId="0" borderId="0" xfId="0" applyFont="1"/>
    <xf numFmtId="0" fontId="23" fillId="9" borderId="0" xfId="0" applyFont="1" applyFill="1" applyAlignment="1">
      <alignment horizontal="center"/>
    </xf>
    <xf numFmtId="167" fontId="23" fillId="0" borderId="0" xfId="1" applyNumberFormat="1" applyFont="1"/>
    <xf numFmtId="0" fontId="1" fillId="0" borderId="0" xfId="0" applyFont="1" applyAlignment="1">
      <alignment horizontal="center"/>
    </xf>
    <xf numFmtId="0" fontId="1" fillId="10" borderId="0" xfId="0" applyFont="1" applyFill="1"/>
    <xf numFmtId="0" fontId="23" fillId="10" borderId="0" xfId="0" applyFont="1" applyFill="1"/>
    <xf numFmtId="0" fontId="9" fillId="2" borderId="0" xfId="4" applyNumberFormat="1" applyFont="1" applyFill="1" applyAlignment="1">
      <alignment horizontal="center" vertical="center"/>
    </xf>
    <xf numFmtId="167" fontId="42" fillId="0" borderId="0" xfId="0" applyNumberFormat="1" applyFont="1" applyAlignment="1">
      <alignment horizontal="center"/>
    </xf>
    <xf numFmtId="3" fontId="1" fillId="0" borderId="0" xfId="0" applyNumberFormat="1" applyFont="1"/>
    <xf numFmtId="0" fontId="23" fillId="2" borderId="0" xfId="0" applyFont="1" applyFill="1" applyAlignment="1">
      <alignment horizontal="left"/>
    </xf>
    <xf numFmtId="0" fontId="39" fillId="9" borderId="0" xfId="0" applyFont="1" applyFill="1" applyAlignment="1">
      <alignment horizontal="center"/>
    </xf>
    <xf numFmtId="167" fontId="39" fillId="9" borderId="0" xfId="1" applyNumberFormat="1" applyFont="1" applyFill="1" applyAlignment="1">
      <alignment horizontal="center"/>
    </xf>
    <xf numFmtId="0" fontId="43" fillId="0" borderId="0" xfId="0" applyFont="1"/>
    <xf numFmtId="167" fontId="43" fillId="0" borderId="0" xfId="1" applyNumberFormat="1" applyFont="1"/>
    <xf numFmtId="167" fontId="11" fillId="2" borderId="0" xfId="1" applyNumberFormat="1" applyFont="1" applyFill="1" applyAlignment="1">
      <alignment horizontal="center" wrapText="1"/>
    </xf>
    <xf numFmtId="3" fontId="44" fillId="2" borderId="2" xfId="0" applyNumberFormat="1" applyFont="1" applyFill="1" applyBorder="1"/>
    <xf numFmtId="43" fontId="6" fillId="0" borderId="0" xfId="1" applyFont="1"/>
    <xf numFmtId="9" fontId="6" fillId="0" borderId="0" xfId="2" applyFont="1"/>
    <xf numFmtId="10" fontId="6" fillId="0" borderId="0" xfId="2" applyNumberFormat="1" applyFont="1"/>
    <xf numFmtId="167" fontId="6" fillId="0" borderId="0" xfId="1" applyNumberFormat="1" applyFont="1"/>
    <xf numFmtId="10" fontId="15" fillId="0" borderId="0" xfId="2" applyNumberFormat="1" applyFont="1"/>
    <xf numFmtId="0" fontId="10" fillId="0" borderId="0" xfId="0" applyFont="1"/>
    <xf numFmtId="9" fontId="10" fillId="2" borderId="1" xfId="2" applyFont="1" applyFill="1" applyBorder="1"/>
    <xf numFmtId="3" fontId="9" fillId="0" borderId="0" xfId="0" applyNumberFormat="1" applyFont="1"/>
    <xf numFmtId="10" fontId="9" fillId="0" borderId="0" xfId="2" applyNumberFormat="1" applyFont="1"/>
    <xf numFmtId="10" fontId="9" fillId="2" borderId="0" xfId="2" applyNumberFormat="1" applyFont="1" applyFill="1"/>
    <xf numFmtId="164" fontId="8" fillId="2" borderId="0" xfId="3" applyNumberFormat="1" applyFont="1" applyFill="1" applyBorder="1" applyAlignment="1">
      <alignment vertical="center" wrapText="1"/>
    </xf>
    <xf numFmtId="3" fontId="8" fillId="2" borderId="0" xfId="0" applyNumberFormat="1" applyFont="1" applyFill="1" applyAlignment="1">
      <alignment vertical="center"/>
    </xf>
    <xf numFmtId="10" fontId="8" fillId="2" borderId="0" xfId="2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9" fontId="17" fillId="0" borderId="0" xfId="2" applyFont="1"/>
    <xf numFmtId="9" fontId="3" fillId="0" borderId="0" xfId="2" applyFont="1"/>
    <xf numFmtId="5" fontId="3" fillId="0" borderId="0" xfId="1" applyNumberFormat="1" applyFont="1"/>
    <xf numFmtId="9" fontId="0" fillId="0" borderId="0" xfId="2" applyFont="1"/>
    <xf numFmtId="168" fontId="0" fillId="0" borderId="0" xfId="0" applyNumberFormat="1"/>
    <xf numFmtId="0" fontId="3" fillId="11" borderId="0" xfId="0" applyFont="1" applyFill="1"/>
    <xf numFmtId="0" fontId="24" fillId="12" borderId="0" xfId="0" applyFont="1" applyFill="1" applyAlignment="1">
      <alignment vertical="center"/>
    </xf>
    <xf numFmtId="0" fontId="0" fillId="12" borderId="0" xfId="0" applyFill="1"/>
    <xf numFmtId="0" fontId="19" fillId="12" borderId="0" xfId="0" applyFont="1" applyFill="1" applyAlignment="1">
      <alignment vertical="center"/>
    </xf>
    <xf numFmtId="0" fontId="25" fillId="12" borderId="0" xfId="0" applyFont="1" applyFill="1" applyAlignment="1">
      <alignment horizontal="justify" vertical="center"/>
    </xf>
    <xf numFmtId="0" fontId="26" fillId="12" borderId="0" xfId="0" applyFont="1" applyFill="1"/>
    <xf numFmtId="0" fontId="12" fillId="12" borderId="0" xfId="0" applyFont="1" applyFill="1"/>
    <xf numFmtId="0" fontId="6" fillId="12" borderId="0" xfId="0" applyFont="1" applyFill="1"/>
    <xf numFmtId="0" fontId="27" fillId="12" borderId="0" xfId="5" applyFont="1" applyFill="1" applyAlignment="1"/>
    <xf numFmtId="0" fontId="9" fillId="13" borderId="0" xfId="0" applyFont="1" applyFill="1" applyAlignment="1">
      <alignment horizontal="left" vertical="top" wrapText="1"/>
    </xf>
    <xf numFmtId="0" fontId="0" fillId="13" borderId="0" xfId="0" applyFill="1"/>
    <xf numFmtId="0" fontId="9" fillId="13" borderId="0" xfId="0" applyFont="1" applyFill="1" applyAlignment="1">
      <alignment vertical="top" wrapText="1"/>
    </xf>
    <xf numFmtId="0" fontId="31" fillId="13" borderId="0" xfId="0" applyFont="1" applyFill="1" applyAlignment="1">
      <alignment vertical="top" wrapText="1"/>
    </xf>
    <xf numFmtId="0" fontId="10" fillId="13" borderId="0" xfId="0" applyFont="1" applyFill="1" applyAlignment="1">
      <alignment vertical="top" wrapText="1"/>
    </xf>
    <xf numFmtId="0" fontId="32" fillId="13" borderId="0" xfId="0" applyFont="1" applyFill="1" applyAlignment="1">
      <alignment vertical="top" wrapText="1"/>
    </xf>
    <xf numFmtId="0" fontId="30" fillId="13" borderId="0" xfId="0" applyFont="1" applyFill="1"/>
    <xf numFmtId="0" fontId="29" fillId="13" borderId="0" xfId="0" applyFont="1" applyFill="1"/>
    <xf numFmtId="0" fontId="33" fillId="13" borderId="0" xfId="0" applyFont="1" applyFill="1"/>
    <xf numFmtId="0" fontId="40" fillId="13" borderId="0" xfId="0" applyFont="1" applyFill="1"/>
    <xf numFmtId="0" fontId="23" fillId="12" borderId="0" xfId="0" applyFont="1" applyFill="1"/>
    <xf numFmtId="0" fontId="3" fillId="14" borderId="0" xfId="0" applyFont="1" applyFill="1"/>
    <xf numFmtId="0" fontId="23" fillId="14" borderId="0" xfId="0" applyFont="1" applyFill="1"/>
    <xf numFmtId="0" fontId="23" fillId="6" borderId="0" xfId="0" applyFont="1" applyFill="1"/>
    <xf numFmtId="0" fontId="23" fillId="6" borderId="0" xfId="0" applyFont="1" applyFill="1" applyAlignment="1">
      <alignment horizontal="left"/>
    </xf>
    <xf numFmtId="0" fontId="23" fillId="13" borderId="0" xfId="0" applyFont="1" applyFill="1" applyAlignment="1">
      <alignment horizontal="left"/>
    </xf>
    <xf numFmtId="164" fontId="10" fillId="6" borderId="1" xfId="3" applyNumberFormat="1" applyFont="1" applyFill="1" applyBorder="1" applyAlignment="1">
      <alignment vertical="center"/>
    </xf>
    <xf numFmtId="0" fontId="10" fillId="6" borderId="1" xfId="0" applyFont="1" applyFill="1" applyBorder="1" applyAlignment="1">
      <alignment horizontal="center" vertical="center"/>
    </xf>
    <xf numFmtId="164" fontId="9" fillId="6" borderId="0" xfId="3" applyNumberFormat="1" applyFont="1" applyFill="1" applyAlignment="1">
      <alignment vertical="center"/>
    </xf>
    <xf numFmtId="164" fontId="10" fillId="6" borderId="0" xfId="3" applyNumberFormat="1" applyFont="1" applyFill="1" applyAlignment="1">
      <alignment vertical="center"/>
    </xf>
    <xf numFmtId="164" fontId="45" fillId="6" borderId="0" xfId="5" applyNumberFormat="1" applyFont="1" applyFill="1" applyAlignment="1">
      <alignment wrapText="1"/>
    </xf>
    <xf numFmtId="164" fontId="9" fillId="6" borderId="0" xfId="3" applyNumberFormat="1" applyFont="1" applyFill="1" applyAlignment="1">
      <alignment wrapText="1"/>
    </xf>
    <xf numFmtId="10" fontId="9" fillId="6" borderId="0" xfId="2" applyNumberFormat="1" applyFont="1" applyFill="1" applyAlignment="1">
      <alignment horizontal="right" wrapText="1"/>
    </xf>
    <xf numFmtId="166" fontId="9" fillId="6" borderId="0" xfId="3" applyNumberFormat="1" applyFont="1" applyFill="1" applyAlignment="1">
      <alignment horizontal="right" wrapText="1"/>
    </xf>
    <xf numFmtId="9" fontId="9" fillId="6" borderId="0" xfId="2" applyFont="1" applyFill="1" applyAlignment="1">
      <alignment horizontal="right" wrapText="1"/>
    </xf>
    <xf numFmtId="164" fontId="9" fillId="6" borderId="0" xfId="3" applyNumberFormat="1" applyFont="1" applyFill="1" applyAlignment="1">
      <alignment horizontal="right" wrapText="1"/>
    </xf>
    <xf numFmtId="167" fontId="11" fillId="6" borderId="0" xfId="1" applyNumberFormat="1" applyFont="1" applyFill="1" applyAlignment="1">
      <alignment horizontal="center" wrapText="1"/>
    </xf>
    <xf numFmtId="164" fontId="47" fillId="6" borderId="1" xfId="3" applyNumberFormat="1" applyFont="1" applyFill="1" applyBorder="1" applyAlignment="1">
      <alignment vertical="center"/>
    </xf>
    <xf numFmtId="0" fontId="47" fillId="6" borderId="1" xfId="0" applyFont="1" applyFill="1" applyBorder="1" applyAlignment="1">
      <alignment horizontal="center" vertical="center" wrapText="1"/>
    </xf>
    <xf numFmtId="164" fontId="48" fillId="6" borderId="1" xfId="3" applyNumberFormat="1" applyFont="1" applyFill="1" applyBorder="1" applyAlignment="1">
      <alignment wrapText="1"/>
    </xf>
    <xf numFmtId="164" fontId="48" fillId="6" borderId="1" xfId="3" applyNumberFormat="1" applyFont="1" applyFill="1" applyBorder="1" applyAlignment="1">
      <alignment vertical="center" wrapText="1"/>
    </xf>
    <xf numFmtId="3" fontId="49" fillId="6" borderId="1" xfId="0" applyNumberFormat="1" applyFont="1" applyFill="1" applyBorder="1"/>
    <xf numFmtId="164" fontId="49" fillId="6" borderId="1" xfId="3" applyNumberFormat="1" applyFont="1" applyFill="1" applyBorder="1" applyAlignment="1">
      <alignment vertical="center"/>
    </xf>
    <xf numFmtId="9" fontId="49" fillId="6" borderId="1" xfId="2" applyFont="1" applyFill="1" applyBorder="1"/>
    <xf numFmtId="0" fontId="47" fillId="6" borderId="1" xfId="0" applyFont="1" applyFill="1" applyBorder="1" applyAlignment="1">
      <alignment horizontal="center" vertical="center"/>
    </xf>
    <xf numFmtId="0" fontId="23" fillId="12" borderId="0" xfId="0" applyFont="1" applyFill="1" applyAlignment="1">
      <alignment vertical="center"/>
    </xf>
    <xf numFmtId="0" fontId="1" fillId="12" borderId="0" xfId="0" applyFont="1" applyFill="1"/>
    <xf numFmtId="0" fontId="1" fillId="6" borderId="0" xfId="0" applyFont="1" applyFill="1" applyAlignment="1">
      <alignment vertical="center"/>
    </xf>
    <xf numFmtId="0" fontId="1" fillId="12" borderId="0" xfId="0" applyFont="1" applyFill="1" applyAlignment="1">
      <alignment vertical="center"/>
    </xf>
    <xf numFmtId="0" fontId="7" fillId="12" borderId="2" xfId="0" applyFont="1" applyFill="1" applyBorder="1" applyAlignment="1">
      <alignment horizontal="center" vertical="center" wrapText="1"/>
    </xf>
    <xf numFmtId="0" fontId="7" fillId="12" borderId="4" xfId="0" applyFont="1" applyFill="1" applyBorder="1" applyAlignment="1">
      <alignment horizontal="center" vertical="center" wrapText="1"/>
    </xf>
    <xf numFmtId="164" fontId="8" fillId="12" borderId="0" xfId="3" applyNumberFormat="1" applyFont="1" applyFill="1" applyBorder="1" applyAlignment="1">
      <alignment vertical="center"/>
    </xf>
    <xf numFmtId="3" fontId="7" fillId="12" borderId="1" xfId="0" applyNumberFormat="1" applyFont="1" applyFill="1" applyBorder="1"/>
    <xf numFmtId="164" fontId="8" fillId="12" borderId="0" xfId="0" applyNumberFormat="1" applyFont="1" applyFill="1" applyBorder="1"/>
    <xf numFmtId="164" fontId="7" fillId="12" borderId="1" xfId="3" applyNumberFormat="1" applyFont="1" applyFill="1" applyBorder="1" applyAlignment="1">
      <alignment vertical="center"/>
    </xf>
    <xf numFmtId="164" fontId="7" fillId="12" borderId="1" xfId="3" applyNumberFormat="1" applyFont="1" applyFill="1" applyBorder="1" applyAlignment="1">
      <alignment vertical="center" wrapText="1"/>
    </xf>
    <xf numFmtId="10" fontId="7" fillId="12" borderId="1" xfId="2" applyNumberFormat="1" applyFont="1" applyFill="1" applyBorder="1" applyAlignment="1">
      <alignment horizontal="center" vertical="center" wrapText="1"/>
    </xf>
    <xf numFmtId="164" fontId="16" fillId="13" borderId="1" xfId="3" applyNumberFormat="1" applyFont="1" applyFill="1" applyBorder="1" applyAlignment="1">
      <alignment vertical="center"/>
    </xf>
    <xf numFmtId="0" fontId="16" fillId="13" borderId="1" xfId="0" applyFont="1" applyFill="1" applyBorder="1" applyAlignment="1">
      <alignment horizontal="center"/>
    </xf>
    <xf numFmtId="0" fontId="23" fillId="2" borderId="0" xfId="0" applyFont="1" applyFill="1"/>
    <xf numFmtId="164" fontId="9" fillId="13" borderId="0" xfId="3" applyNumberFormat="1" applyFont="1" applyFill="1" applyAlignment="1">
      <alignment vertical="center"/>
    </xf>
    <xf numFmtId="0" fontId="23" fillId="2" borderId="7" xfId="0" applyFont="1" applyFill="1" applyBorder="1"/>
    <xf numFmtId="164" fontId="9" fillId="2" borderId="5" xfId="3" applyNumberFormat="1" applyFont="1" applyFill="1" applyBorder="1" applyAlignment="1">
      <alignment vertical="center"/>
    </xf>
    <xf numFmtId="164" fontId="9" fillId="13" borderId="5" xfId="3" applyNumberFormat="1" applyFont="1" applyFill="1" applyBorder="1" applyAlignment="1">
      <alignment vertical="center"/>
    </xf>
    <xf numFmtId="3" fontId="9" fillId="2" borderId="5" xfId="0" applyNumberFormat="1" applyFont="1" applyFill="1" applyBorder="1"/>
    <xf numFmtId="164" fontId="9" fillId="2" borderId="5" xfId="3" applyNumberFormat="1" applyFont="1" applyFill="1" applyBorder="1" applyAlignment="1">
      <alignment wrapText="1"/>
    </xf>
    <xf numFmtId="9" fontId="9" fillId="2" borderId="0" xfId="2" applyFont="1" applyFill="1" applyAlignment="1">
      <alignment horizontal="center" vertical="center"/>
    </xf>
    <xf numFmtId="9" fontId="9" fillId="13" borderId="0" xfId="2" applyFont="1" applyFill="1" applyAlignment="1">
      <alignment horizontal="center" vertical="center"/>
    </xf>
    <xf numFmtId="9" fontId="9" fillId="2" borderId="0" xfId="2" applyFont="1" applyFill="1" applyAlignment="1">
      <alignment horizontal="center" wrapText="1"/>
    </xf>
    <xf numFmtId="9" fontId="9" fillId="2" borderId="0" xfId="2" applyFont="1" applyFill="1" applyAlignment="1">
      <alignment horizontal="center"/>
    </xf>
    <xf numFmtId="169" fontId="6" fillId="0" borderId="0" xfId="1" applyNumberFormat="1" applyFont="1"/>
    <xf numFmtId="0" fontId="3" fillId="0" borderId="0" xfId="0" applyFont="1" applyAlignment="1">
      <alignment horizontal="right"/>
    </xf>
    <xf numFmtId="0" fontId="0" fillId="12" borderId="0" xfId="0" applyFill="1" applyAlignment="1">
      <alignment vertical="top"/>
    </xf>
    <xf numFmtId="167" fontId="37" fillId="0" borderId="0" xfId="1" applyNumberFormat="1" applyFont="1"/>
    <xf numFmtId="0" fontId="37" fillId="10" borderId="0" xfId="0" applyFont="1" applyFill="1"/>
    <xf numFmtId="14" fontId="7" fillId="12" borderId="1" xfId="0" applyNumberFormat="1" applyFont="1" applyFill="1" applyBorder="1" applyAlignment="1">
      <alignment horizontal="center" vertical="center" wrapText="1"/>
    </xf>
    <xf numFmtId="164" fontId="9" fillId="13" borderId="0" xfId="3" applyNumberFormat="1" applyFont="1" applyFill="1" applyAlignment="1">
      <alignment horizontal="center" vertical="center"/>
    </xf>
    <xf numFmtId="164" fontId="9" fillId="2" borderId="0" xfId="3" applyNumberFormat="1" applyFont="1" applyFill="1" applyAlignment="1">
      <alignment horizontal="center" vertical="center" wrapText="1"/>
    </xf>
    <xf numFmtId="3" fontId="9" fillId="2" borderId="0" xfId="0" applyNumberFormat="1" applyFont="1" applyFill="1" applyAlignment="1">
      <alignment horizontal="center" vertical="center"/>
    </xf>
    <xf numFmtId="0" fontId="23" fillId="2" borderId="0" xfId="0" applyFont="1" applyFill="1" applyAlignment="1">
      <alignment horizontal="left" vertical="center" wrapText="1"/>
    </xf>
    <xf numFmtId="164" fontId="9" fillId="2" borderId="5" xfId="3" applyNumberFormat="1" applyFont="1" applyFill="1" applyBorder="1" applyAlignment="1">
      <alignment vertical="center" wrapText="1"/>
    </xf>
    <xf numFmtId="164" fontId="9" fillId="13" borderId="5" xfId="3" applyNumberFormat="1" applyFont="1" applyFill="1" applyBorder="1" applyAlignment="1">
      <alignment vertical="center" wrapText="1"/>
    </xf>
    <xf numFmtId="0" fontId="23" fillId="2" borderId="7" xfId="0" applyFont="1" applyFill="1" applyBorder="1" applyAlignment="1">
      <alignment vertical="center" wrapText="1"/>
    </xf>
    <xf numFmtId="3" fontId="9" fillId="2" borderId="5" xfId="0" applyNumberFormat="1" applyFont="1" applyFill="1" applyBorder="1" applyAlignment="1">
      <alignment vertical="center" wrapText="1"/>
    </xf>
    <xf numFmtId="9" fontId="9" fillId="2" borderId="6" xfId="2" applyFont="1" applyFill="1" applyBorder="1" applyAlignment="1">
      <alignment horizontal="center"/>
    </xf>
    <xf numFmtId="9" fontId="9" fillId="2" borderId="6" xfId="2" applyFont="1" applyFill="1" applyBorder="1" applyAlignment="1">
      <alignment horizontal="center" vertical="center" wrapText="1"/>
    </xf>
    <xf numFmtId="0" fontId="23" fillId="12" borderId="0" xfId="0" quotePrefix="1" applyFont="1" applyFill="1"/>
    <xf numFmtId="0" fontId="23" fillId="12" borderId="0" xfId="0" applyFont="1" applyFill="1" applyAlignment="1"/>
    <xf numFmtId="164" fontId="10" fillId="6" borderId="1" xfId="3" applyNumberFormat="1" applyFont="1" applyFill="1" applyBorder="1" applyAlignment="1">
      <alignment wrapText="1"/>
    </xf>
    <xf numFmtId="3" fontId="9" fillId="6" borderId="1" xfId="0" applyNumberFormat="1" applyFont="1" applyFill="1" applyBorder="1"/>
    <xf numFmtId="9" fontId="9" fillId="6" borderId="1" xfId="2" applyFont="1" applyFill="1" applyBorder="1"/>
    <xf numFmtId="0" fontId="20" fillId="13" borderId="0" xfId="5" applyFill="1" applyAlignment="1">
      <alignment horizontal="left" vertical="top" wrapText="1"/>
    </xf>
    <xf numFmtId="0" fontId="41" fillId="13" borderId="0" xfId="0" applyFont="1" applyFill="1" applyAlignment="1">
      <alignment horizontal="left" vertical="top" wrapText="1"/>
    </xf>
    <xf numFmtId="0" fontId="40" fillId="13" borderId="0" xfId="0" applyFont="1" applyFill="1" applyAlignment="1">
      <alignment horizontal="left" vertical="top" wrapText="1"/>
    </xf>
    <xf numFmtId="0" fontId="38" fillId="6" borderId="0" xfId="0" applyFont="1" applyFill="1" applyAlignment="1">
      <alignment horizontal="left"/>
    </xf>
    <xf numFmtId="0" fontId="22" fillId="12" borderId="0" xfId="0" applyFont="1" applyFill="1" applyAlignment="1">
      <alignment horizontal="left"/>
    </xf>
    <xf numFmtId="0" fontId="30" fillId="13" borderId="0" xfId="0" applyFont="1" applyFill="1" applyAlignment="1">
      <alignment horizontal="left" vertical="top" wrapText="1"/>
    </xf>
    <xf numFmtId="0" fontId="11" fillId="13" borderId="0" xfId="0" applyFont="1" applyFill="1" applyAlignment="1">
      <alignment horizontal="left" vertical="top" wrapText="1"/>
    </xf>
    <xf numFmtId="0" fontId="9" fillId="13" borderId="0" xfId="0" applyFont="1" applyFill="1" applyAlignment="1">
      <alignment horizontal="left" vertical="top" wrapText="1"/>
    </xf>
    <xf numFmtId="0" fontId="10" fillId="13" borderId="0" xfId="0" applyFont="1" applyFill="1" applyAlignment="1">
      <alignment horizontal="left" vertical="top" wrapText="1"/>
    </xf>
    <xf numFmtId="0" fontId="14" fillId="13" borderId="0" xfId="0" applyFont="1" applyFill="1" applyAlignment="1">
      <alignment horizontal="left" vertical="top" wrapText="1"/>
    </xf>
    <xf numFmtId="0" fontId="16" fillId="13" borderId="1" xfId="0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10" fontId="7" fillId="12" borderId="1" xfId="2" applyNumberFormat="1" applyFont="1" applyFill="1" applyBorder="1" applyAlignment="1">
      <alignment horizontal="center" vertical="center" wrapText="1"/>
    </xf>
    <xf numFmtId="10" fontId="50" fillId="12" borderId="2" xfId="2" applyNumberFormat="1" applyFont="1" applyFill="1" applyBorder="1" applyAlignment="1">
      <alignment horizontal="center" vertical="center" wrapText="1"/>
    </xf>
    <xf numFmtId="10" fontId="50" fillId="12" borderId="4" xfId="2" applyNumberFormat="1" applyFont="1" applyFill="1" applyBorder="1" applyAlignment="1">
      <alignment horizontal="center" vertical="center" wrapText="1"/>
    </xf>
    <xf numFmtId="0" fontId="23" fillId="12" borderId="0" xfId="0" applyFont="1" applyFill="1" applyAlignment="1">
      <alignment horizontal="left"/>
    </xf>
    <xf numFmtId="164" fontId="7" fillId="12" borderId="2" xfId="3" applyNumberFormat="1" applyFont="1" applyFill="1" applyBorder="1" applyAlignment="1">
      <alignment horizontal="center" vertical="center" wrapText="1"/>
    </xf>
    <xf numFmtId="164" fontId="7" fillId="12" borderId="4" xfId="3" applyNumberFormat="1" applyFont="1" applyFill="1" applyBorder="1" applyAlignment="1">
      <alignment horizontal="center" vertical="center" wrapText="1"/>
    </xf>
    <xf numFmtId="0" fontId="47" fillId="6" borderId="1" xfId="0" applyFont="1" applyFill="1" applyBorder="1" applyAlignment="1">
      <alignment horizontal="center" vertical="center"/>
    </xf>
    <xf numFmtId="0" fontId="23" fillId="13" borderId="0" xfId="0" applyFont="1" applyFill="1" applyAlignment="1">
      <alignment horizontal="left"/>
    </xf>
    <xf numFmtId="0" fontId="23" fillId="6" borderId="0" xfId="0" applyFont="1" applyFill="1" applyAlignment="1">
      <alignment horizontal="left"/>
    </xf>
  </cellXfs>
  <cellStyles count="7">
    <cellStyle name="Comma" xfId="1" builtinId="3"/>
    <cellStyle name="Gen_Black" xfId="6" xr:uid="{00000000-0005-0000-0000-000001000000}"/>
    <cellStyle name="Hyperlink" xfId="5" builtinId="8"/>
    <cellStyle name="Normal" xfId="0" builtinId="0"/>
    <cellStyle name="Normal_FSWS CONSO TERAPLAST IFRS FINAL" xfId="3" xr:uid="{00000000-0005-0000-0000-000004000000}"/>
    <cellStyle name="Normal_SHEET" xfId="4" xr:uid="{00000000-0005-0000-0000-000005000000}"/>
    <cellStyle name="Percent" xfId="2" builtinId="5"/>
  </cellStyles>
  <dxfs count="166"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</dxfs>
  <tableStyles count="0" defaultTableStyle="TableStyleMedium2" defaultPivotStyle="PivotStyleLight16"/>
  <colors>
    <mruColors>
      <color rgb="FFEF6663"/>
      <color rgb="FFCAD1DC"/>
      <color rgb="FFE3E7ED"/>
      <color rgb="FFD1D1D1"/>
      <color rgb="FF6FAB47"/>
      <color rgb="FFAED395"/>
      <color rgb="FF95C575"/>
      <color rgb="FFE92823"/>
      <color rgb="FFFF3B0D"/>
      <color rgb="FFFF6D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en-GB" sz="1100">
                <a:solidFill>
                  <a:schemeClr val="bg1"/>
                </a:solidFill>
                <a:latin typeface="Candara" panose="020E0502030303020204" pitchFamily="34" charset="0"/>
              </a:rPr>
              <a:t>Revenue</a:t>
            </a:r>
            <a:r>
              <a:rPr lang="en-GB" sz="1100" baseline="0">
                <a:solidFill>
                  <a:schemeClr val="bg1"/>
                </a:solidFill>
                <a:latin typeface="Candara" panose="020E0502030303020204" pitchFamily="34" charset="0"/>
              </a:rPr>
              <a:t> evolution</a:t>
            </a:r>
            <a:endParaRPr lang="en-GB" sz="1100">
              <a:solidFill>
                <a:schemeClr val="bg1"/>
              </a:solidFill>
              <a:latin typeface="Candara" panose="020E0502030303020204" pitchFamily="34" charset="0"/>
            </a:endParaRPr>
          </a:p>
        </c:rich>
      </c:tx>
      <c:layout>
        <c:manualLayout>
          <c:xMode val="edge"/>
          <c:yMode val="edge"/>
          <c:x val="2.613340434669072E-3"/>
          <c:y val="3.2884439733607716E-3"/>
        </c:manualLayout>
      </c:layout>
      <c:overlay val="0"/>
      <c:spPr>
        <a:solidFill>
          <a:schemeClr val="bg2">
            <a:lumMod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ro-RO"/>
        </a:p>
      </c:txPr>
    </c:title>
    <c:autoTitleDeleted val="0"/>
    <c:plotArea>
      <c:layout>
        <c:manualLayout>
          <c:layoutTarget val="inner"/>
          <c:xMode val="edge"/>
          <c:yMode val="edge"/>
          <c:x val="2.0147484922298856E-2"/>
          <c:y val="0.13594311042469931"/>
          <c:w val="0.96834461831348051"/>
          <c:h val="0.71549936358354926"/>
        </c:manualLayout>
      </c:layout>
      <c:lineChart>
        <c:grouping val="standard"/>
        <c:varyColors val="0"/>
        <c:ser>
          <c:idx val="1"/>
          <c:order val="0"/>
          <c:spPr>
            <a:ln w="19050" cap="rnd">
              <a:solidFill>
                <a:schemeClr val="bg2">
                  <a:lumMod val="25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hiddenPage!$F$1:$H$1</c:f>
              <c:strCache>
                <c:ptCount val="3"/>
                <c:pt idx="0">
                  <c:v>9 Months 2019</c:v>
                </c:pt>
                <c:pt idx="1">
                  <c:v>9 Months 2020</c:v>
                </c:pt>
                <c:pt idx="2">
                  <c:v>9 Months 2021</c:v>
                </c:pt>
              </c:strCache>
            </c:strRef>
          </c:cat>
          <c:val>
            <c:numRef>
              <c:f>'3.Profit or loss statement'!$C$4:$E$4</c:f>
              <c:numCache>
                <c:formatCode>_(* #,##0_);_(* \(#,##0\);_(* "-"_);_(@_)</c:formatCode>
                <c:ptCount val="3"/>
                <c:pt idx="0">
                  <c:v>187560270.35068965</c:v>
                </c:pt>
                <c:pt idx="1">
                  <c:v>193429377.01944542</c:v>
                </c:pt>
                <c:pt idx="2">
                  <c:v>247006542.93567088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39-40A4-842A-F57B55C623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9438480"/>
        <c:axId val="659435200"/>
      </c:lineChart>
      <c:catAx>
        <c:axId val="659438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659435200"/>
        <c:crosses val="autoZero"/>
        <c:auto val="1"/>
        <c:lblAlgn val="ctr"/>
        <c:lblOffset val="100"/>
        <c:noMultiLvlLbl val="0"/>
      </c:catAx>
      <c:valAx>
        <c:axId val="659435200"/>
        <c:scaling>
          <c:orientation val="minMax"/>
        </c:scaling>
        <c:delete val="1"/>
        <c:axPos val="l"/>
        <c:numFmt formatCode="_(* #,##0_);_(* \(#,##0\);_(* &quot;-&quot;_);_(@_)" sourceLinked="1"/>
        <c:majorTickMark val="out"/>
        <c:minorTickMark val="none"/>
        <c:tickLblPos val="nextTo"/>
        <c:crossAx val="659438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4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1610869214704E-2"/>
          <c:y val="2.5428331875182269E-2"/>
          <c:w val="0.91308389130785295"/>
          <c:h val="0.85958204339501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Snapshots!$B$9</c:f>
              <c:strCache>
                <c:ptCount val="1"/>
                <c:pt idx="0">
                  <c:v>EBITDA Operational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Snapshots!$C$4:$E$4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Snapshots!$C$9:$E$9</c:f>
              <c:numCache>
                <c:formatCode>_(* #,##0_);_(* \(#,##0\);_(* "-"_);_(@_)</c:formatCode>
                <c:ptCount val="3"/>
                <c:pt idx="0">
                  <c:v>9279549.0985902343</c:v>
                </c:pt>
                <c:pt idx="1">
                  <c:v>15468410.007888829</c:v>
                </c:pt>
                <c:pt idx="2">
                  <c:v>14103111.72861604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F0-4FEE-B6D3-3D122939F3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44"/>
        <c:axId val="1053619087"/>
        <c:axId val="1180443935"/>
      </c:barChart>
      <c:barChart>
        <c:barDir val="col"/>
        <c:grouping val="clustered"/>
        <c:varyColors val="0"/>
        <c:ser>
          <c:idx val="1"/>
          <c:order val="1"/>
          <c:tx>
            <c:strRef>
              <c:f>Snapshots!$B$10</c:f>
              <c:strCache>
                <c:ptCount val="1"/>
                <c:pt idx="0">
                  <c:v>Net profit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2">
                        <a:lumMod val="7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Snapshots!$C$10:$E$10</c:f>
              <c:numCache>
                <c:formatCode>_(* #,##0_);_(* \(#,##0\);_(* "-"_);_(@_)</c:formatCode>
                <c:ptCount val="3"/>
                <c:pt idx="0">
                  <c:v>565059.93236804195</c:v>
                </c:pt>
                <c:pt idx="1">
                  <c:v>2531393.6035695476</c:v>
                </c:pt>
                <c:pt idx="2">
                  <c:v>5676182.4735772144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F0-4FEE-B6D3-3D122939F3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1"/>
        <c:overlap val="44"/>
        <c:axId val="1164413903"/>
        <c:axId val="1052069935"/>
      </c:barChart>
      <c:catAx>
        <c:axId val="10536190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1180443935"/>
        <c:crosses val="autoZero"/>
        <c:auto val="1"/>
        <c:lblAlgn val="ctr"/>
        <c:lblOffset val="100"/>
        <c:noMultiLvlLbl val="0"/>
      </c:catAx>
      <c:valAx>
        <c:axId val="11804439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1053619087"/>
        <c:crosses val="autoZero"/>
        <c:crossBetween val="between"/>
      </c:valAx>
      <c:valAx>
        <c:axId val="1052069935"/>
        <c:scaling>
          <c:orientation val="minMax"/>
        </c:scaling>
        <c:delete val="1"/>
        <c:axPos val="r"/>
        <c:numFmt formatCode="_(* #,##0_);_(* \(#,##0\);_(* &quot;-&quot;_);_(@_)" sourceLinked="1"/>
        <c:majorTickMark val="out"/>
        <c:minorTickMark val="none"/>
        <c:tickLblPos val="nextTo"/>
        <c:crossAx val="1164413903"/>
        <c:crosses val="max"/>
        <c:crossBetween val="between"/>
      </c:valAx>
      <c:catAx>
        <c:axId val="116441390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52069935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714172668493846"/>
          <c:y val="3.1265923703364902E-2"/>
          <c:w val="0.41506896752444017"/>
          <c:h val="6.689877415512907E-2"/>
        </c:manualLayout>
      </c:layout>
      <c:overlay val="0"/>
      <c:spPr>
        <a:noFill/>
        <a:ln>
          <a:solidFill>
            <a:schemeClr val="tx2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ro-R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bg1"/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r>
              <a:rPr lang="en-US" sz="1050">
                <a:solidFill>
                  <a:schemeClr val="bg1"/>
                </a:solidFill>
                <a:latin typeface="Candara" panose="020E0502030303020204" pitchFamily="34" charset="0"/>
              </a:rPr>
              <a:t>Evolution of the item "Revenue (Sales)"</a:t>
            </a:r>
          </a:p>
        </c:rich>
      </c:tx>
      <c:layout>
        <c:manualLayout>
          <c:xMode val="edge"/>
          <c:yMode val="edge"/>
          <c:x val="0.25854220216564516"/>
          <c:y val="0"/>
        </c:manualLayout>
      </c:layout>
      <c:overlay val="0"/>
      <c:spPr>
        <a:solidFill>
          <a:schemeClr val="bg2">
            <a:lumMod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bg1"/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ro-RO"/>
        </a:p>
      </c:txPr>
    </c:title>
    <c:autoTitleDeleted val="0"/>
    <c:plotArea>
      <c:layout>
        <c:manualLayout>
          <c:layoutTarget val="inner"/>
          <c:xMode val="edge"/>
          <c:yMode val="edge"/>
          <c:x val="2.7080256031511572E-2"/>
          <c:y val="0.27142420541182366"/>
          <c:w val="0.94583948793697681"/>
          <c:h val="0.6230171796360993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Snapshots!$C$4:$E$4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Snapshots!$C$5:$E$5</c:f>
              <c:numCache>
                <c:formatCode>_(* #,##0_);_(* \(#,##0\);_(* "-"_);_(@_)</c:formatCode>
                <c:ptCount val="3"/>
                <c:pt idx="0">
                  <c:v>187560270.35068965</c:v>
                </c:pt>
                <c:pt idx="1">
                  <c:v>193429377.01944542</c:v>
                </c:pt>
                <c:pt idx="2">
                  <c:v>247006542.93567088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F6-43C7-B38A-8DB6781EC6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2"/>
        <c:overlap val="-27"/>
        <c:axId val="60763824"/>
        <c:axId val="59902576"/>
      </c:barChart>
      <c:catAx>
        <c:axId val="60763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59902576"/>
        <c:crosses val="autoZero"/>
        <c:auto val="1"/>
        <c:lblAlgn val="ctr"/>
        <c:lblOffset val="100"/>
        <c:noMultiLvlLbl val="0"/>
      </c:catAx>
      <c:valAx>
        <c:axId val="59902576"/>
        <c:scaling>
          <c:orientation val="minMax"/>
        </c:scaling>
        <c:delete val="1"/>
        <c:axPos val="l"/>
        <c:numFmt formatCode="_(* #,##0_);_(* \(#,##0\);_(* &quot;-&quot;_);_(@_)" sourceLinked="1"/>
        <c:majorTickMark val="none"/>
        <c:minorTickMark val="none"/>
        <c:tickLblPos val="nextTo"/>
        <c:crossAx val="60763824"/>
        <c:crosses val="autoZero"/>
        <c:crossBetween val="between"/>
      </c:valAx>
      <c:spPr>
        <a:solidFill>
          <a:schemeClr val="bg2">
            <a:lumMod val="90000"/>
          </a:schemeClr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>
        <a:lumMod val="90000"/>
      </a:schemeClr>
    </a:solidFill>
    <a:ln w="9525" cap="flat" cmpd="sng" algn="ctr">
      <a:solidFill>
        <a:schemeClr val="accent6">
          <a:lumMod val="20000"/>
          <a:lumOff val="80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hiddenPage!$A$1</c:f>
          <c:strCache>
            <c:ptCount val="1"/>
            <c:pt idx="0">
              <c:v>Total current liabilities vs. Total current assets</c:v>
            </c:pt>
          </c:strCache>
        </c:strRef>
      </c:tx>
      <c:layout>
        <c:manualLayout>
          <c:xMode val="edge"/>
          <c:yMode val="edge"/>
          <c:x val="0.22797921688360384"/>
          <c:y val="9.4269692466396396E-3"/>
        </c:manualLayout>
      </c:layout>
      <c:overlay val="0"/>
      <c:spPr>
        <a:solidFill>
          <a:schemeClr val="bg2">
            <a:lumMod val="7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50" b="0" i="0" u="none" strike="noStrike" kern="1200" spc="0" baseline="0">
              <a:solidFill>
                <a:sysClr val="windowText" lastClr="000000"/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ro-RO"/>
        </a:p>
      </c:txPr>
    </c:title>
    <c:autoTitleDeleted val="0"/>
    <c:plotArea>
      <c:layout>
        <c:manualLayout>
          <c:layoutTarget val="inner"/>
          <c:xMode val="edge"/>
          <c:yMode val="edge"/>
          <c:x val="0.21472430231935297"/>
          <c:y val="0.11303977693424487"/>
          <c:w val="0.75472023139964661"/>
          <c:h val="0.66846004422349148"/>
        </c:manualLayout>
      </c:layout>
      <c:lineChart>
        <c:grouping val="standard"/>
        <c:varyColors val="0"/>
        <c:ser>
          <c:idx val="0"/>
          <c:order val="0"/>
          <c:tx>
            <c:strRef>
              <c:f>hiddenPage!$A$4</c:f>
              <c:strCache>
                <c:ptCount val="1"/>
                <c:pt idx="0">
                  <c:v>Total current liabilities</c:v>
                </c:pt>
              </c:strCache>
            </c:strRef>
          </c:tx>
          <c:spPr>
            <a:ln w="28575" cap="rnd">
              <a:solidFill>
                <a:srgbClr val="EF666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hiddenPage!$F$2:$H$2</c:f>
              <c:strCache>
                <c:ptCount val="3"/>
                <c:pt idx="0">
                  <c:v>30.09.19</c:v>
                </c:pt>
                <c:pt idx="1">
                  <c:v>30.09.20</c:v>
                </c:pt>
                <c:pt idx="2">
                  <c:v>30.09.21</c:v>
                </c:pt>
              </c:strCache>
            </c:strRef>
          </c:cat>
          <c:val>
            <c:numRef>
              <c:f>hiddenPage!$F$4:$H$4</c:f>
              <c:numCache>
                <c:formatCode>_-* #,##0_-;\-* #,##0_-;_-* "-"??_-;_-@_-</c:formatCode>
                <c:ptCount val="3"/>
                <c:pt idx="0">
                  <c:v>102658490.53199986</c:v>
                </c:pt>
                <c:pt idx="1">
                  <c:v>103113738.99457584</c:v>
                </c:pt>
                <c:pt idx="2">
                  <c:v>120416800.56284985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B7-467F-956A-DCFBF8E00C71}"/>
            </c:ext>
          </c:extLst>
        </c:ser>
        <c:ser>
          <c:idx val="1"/>
          <c:order val="1"/>
          <c:tx>
            <c:strRef>
              <c:f>hiddenPage!$A$5</c:f>
              <c:strCache>
                <c:ptCount val="1"/>
                <c:pt idx="0">
                  <c:v>Total current assets</c:v>
                </c:pt>
              </c:strCache>
            </c:strRef>
          </c:tx>
          <c:spPr>
            <a:ln w="28575" cap="rnd">
              <a:solidFill>
                <a:schemeClr val="bg2">
                  <a:lumMod val="25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hiddenPage!$F$2:$H$2</c:f>
              <c:strCache>
                <c:ptCount val="3"/>
                <c:pt idx="0">
                  <c:v>30.09.19</c:v>
                </c:pt>
                <c:pt idx="1">
                  <c:v>30.09.20</c:v>
                </c:pt>
                <c:pt idx="2">
                  <c:v>30.09.21</c:v>
                </c:pt>
              </c:strCache>
            </c:strRef>
          </c:cat>
          <c:val>
            <c:numRef>
              <c:f>hiddenPage!$F$5:$H$5</c:f>
              <c:numCache>
                <c:formatCode>_-* #,##0_-;\-* #,##0_-;_-* "-"??_-;_-@_-</c:formatCode>
                <c:ptCount val="3"/>
                <c:pt idx="0">
                  <c:v>96701134.125047624</c:v>
                </c:pt>
                <c:pt idx="1">
                  <c:v>103026397.10403591</c:v>
                </c:pt>
                <c:pt idx="2">
                  <c:v>126480541.12704095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B7-467F-956A-DCFBF8E00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8972048"/>
        <c:axId val="608969424"/>
      </c:lineChart>
      <c:catAx>
        <c:axId val="608972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2">
                    <a:lumMod val="50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608969424"/>
        <c:crosses val="autoZero"/>
        <c:auto val="1"/>
        <c:lblAlgn val="ctr"/>
        <c:lblOffset val="100"/>
        <c:noMultiLvlLbl val="0"/>
      </c:catAx>
      <c:valAx>
        <c:axId val="608969424"/>
        <c:scaling>
          <c:orientation val="minMax"/>
        </c:scaling>
        <c:delete val="0"/>
        <c:axPos val="l"/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608972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3455460924527222E-3"/>
          <c:y val="0.88172387767934923"/>
          <c:w val="0.9415257378541968"/>
          <c:h val="9.2544963169026079E-2"/>
        </c:manualLayout>
      </c:layout>
      <c:overlay val="0"/>
      <c:spPr>
        <a:solidFill>
          <a:schemeClr val="bg2">
            <a:lumMod val="90000"/>
          </a:schemeClr>
        </a:solidFill>
        <a:ln>
          <a:solidFill>
            <a:schemeClr val="bg2">
              <a:lumMod val="2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o-R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>
        <a:lumMod val="90000"/>
      </a:schemeClr>
    </a:solidFill>
    <a:ln w="9525" cap="flat" cmpd="sng" algn="ctr">
      <a:solidFill>
        <a:schemeClr val="tx2">
          <a:lumMod val="50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hiddenPage!$A$13</c:f>
          <c:strCache>
            <c:ptCount val="1"/>
            <c:pt idx="0">
              <c:v>Structure of Current assets as at  30 September 2019</c:v>
            </c:pt>
          </c:strCache>
        </c:strRef>
      </c:tx>
      <c:layout>
        <c:manualLayout>
          <c:xMode val="edge"/>
          <c:yMode val="edge"/>
          <c:x val="0.40749939460436985"/>
          <c:y val="2.4210682878762529E-2"/>
        </c:manualLayout>
      </c:layout>
      <c:overlay val="0"/>
      <c:spPr>
        <a:solidFill>
          <a:schemeClr val="bg2">
            <a:lumMod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bg1"/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ro-RO"/>
        </a:p>
      </c:txPr>
    </c:title>
    <c:autoTitleDeleted val="0"/>
    <c:plotArea>
      <c:layout>
        <c:manualLayout>
          <c:layoutTarget val="inner"/>
          <c:xMode val="edge"/>
          <c:yMode val="edge"/>
          <c:x val="0.34406896551724137"/>
          <c:y val="0.23767695411295978"/>
          <c:w val="0.61276441306905594"/>
          <c:h val="0.5839023443773937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strRef>
                  <c:f>hiddenPage!$R$16</c:f>
                  <c:strCache>
                    <c:ptCount val="1"/>
                    <c:pt idx="0">
                      <c:v> 40,852,830 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{6D640F90-3495-4C88-9BD3-5DFA8D97A80F}</c15:txfldGUID>
                      <c15:f>hiddenPage!$R$16</c15:f>
                      <c15:dlblFieldTableCache>
                        <c:ptCount val="1"/>
                        <c:pt idx="0">
                          <c:v> 40,852,830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75C2-462E-9865-AECEF9265BA7}"/>
                </c:ext>
              </c:extLst>
            </c:dLbl>
            <c:dLbl>
              <c:idx val="1"/>
              <c:tx>
                <c:strRef>
                  <c:f>hiddenPage!$R$17</c:f>
                  <c:strCache>
                    <c:ptCount val="1"/>
                    <c:pt idx="0">
                      <c:v> 38,856,987 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{7B10C46E-C21B-41BC-9BD4-06F70E79FF13}</c15:txfldGUID>
                      <c15:f>hiddenPage!$R$17</c15:f>
                      <c15:dlblFieldTableCache>
                        <c:ptCount val="1"/>
                        <c:pt idx="0">
                          <c:v> 38,856,987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75C2-462E-9865-AECEF9265BA7}"/>
                </c:ext>
              </c:extLst>
            </c:dLbl>
            <c:dLbl>
              <c:idx val="2"/>
              <c:tx>
                <c:strRef>
                  <c:f>hiddenPage!$R$18</c:f>
                  <c:strCache>
                    <c:ptCount val="1"/>
                    <c:pt idx="0">
                      <c:v> 10,136,261 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{72B7BF7C-5D45-4740-B9F1-D8D6F7B0CCDF}</c15:txfldGUID>
                      <c15:f>hiddenPage!$R$18</c15:f>
                      <c15:dlblFieldTableCache>
                        <c:ptCount val="1"/>
                        <c:pt idx="0">
                          <c:v> 10,136,261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75C2-462E-9865-AECEF9265BA7}"/>
                </c:ext>
              </c:extLst>
            </c:dLbl>
            <c:dLbl>
              <c:idx val="3"/>
              <c:tx>
                <c:strRef>
                  <c:f>hiddenPage!$R$19</c:f>
                  <c:strCache>
                    <c:ptCount val="1"/>
                    <c:pt idx="0">
                      <c:v> 5,280,199 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{844B0C6C-B770-4A99-92D0-94383EDC348E}</c15:txfldGUID>
                      <c15:f>hiddenPage!$R$19</c15:f>
                      <c15:dlblFieldTableCache>
                        <c:ptCount val="1"/>
                        <c:pt idx="0">
                          <c:v> 5,280,199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75C2-462E-9865-AECEF9265BA7}"/>
                </c:ext>
              </c:extLst>
            </c:dLbl>
            <c:dLbl>
              <c:idx val="4"/>
              <c:tx>
                <c:strRef>
                  <c:f>hiddenPage!$R$20</c:f>
                  <c:strCache>
                    <c:ptCount val="1"/>
                    <c:pt idx="0">
                      <c:v> 1,394,932 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{7C2939D0-27DA-4F98-94CD-453871D30163}</c15:txfldGUID>
                      <c15:f>hiddenPage!$R$20</c15:f>
                      <c15:dlblFieldTableCache>
                        <c:ptCount val="1"/>
                        <c:pt idx="0">
                          <c:v> 1,394,932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75C2-462E-9865-AECEF9265BA7}"/>
                </c:ext>
              </c:extLst>
            </c:dLbl>
            <c:dLbl>
              <c:idx val="5"/>
              <c:tx>
                <c:strRef>
                  <c:f>hiddenPage!$R$21</c:f>
                  <c:strCache>
                    <c:ptCount val="1"/>
                    <c:pt idx="0">
                      <c:v> 179,924 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{027E2558-11A8-45A6-BB56-B19F06F3CAE1}</c15:txfldGUID>
                      <c15:f>hiddenPage!$R$21</c15:f>
                      <c15:dlblFieldTableCache>
                        <c:ptCount val="1"/>
                        <c:pt idx="0">
                          <c:v> 179,924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75C2-462E-9865-AECEF9265BA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hiddenPage!$O$16:$O$21</c:f>
              <c:strCache>
                <c:ptCount val="6"/>
                <c:pt idx="0">
                  <c:v>Trade and other current receivables</c:v>
                </c:pt>
                <c:pt idx="1">
                  <c:v>Current inventories</c:v>
                </c:pt>
                <c:pt idx="2">
                  <c:v>Non-current assets or disposal groups classified as held for sale or as held for distribution to owners</c:v>
                </c:pt>
                <c:pt idx="3">
                  <c:v>Cash and cash equivalents</c:v>
                </c:pt>
                <c:pt idx="4">
                  <c:v>Other current non-financial assets</c:v>
                </c:pt>
                <c:pt idx="5">
                  <c:v>Other current financial assets</c:v>
                </c:pt>
              </c:strCache>
            </c:strRef>
          </c:cat>
          <c:val>
            <c:numRef>
              <c:f>hiddenPage!$S$16:$S$21</c:f>
              <c:numCache>
                <c:formatCode>0%</c:formatCode>
                <c:ptCount val="6"/>
                <c:pt idx="0">
                  <c:v>0.4224648442093526</c:v>
                </c:pt>
                <c:pt idx="1">
                  <c:v>0.40182556016403431</c:v>
                </c:pt>
                <c:pt idx="2">
                  <c:v>0.10482049762614414</c:v>
                </c:pt>
                <c:pt idx="3">
                  <c:v>5.4603281491704014E-2</c:v>
                </c:pt>
                <c:pt idx="4">
                  <c:v>1.4425192622313654E-2</c:v>
                </c:pt>
                <c:pt idx="5">
                  <c:v>1.8606238864513564E-3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5C2-462E-9865-AECEF9265B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9"/>
        <c:axId val="506901752"/>
        <c:axId val="506893224"/>
      </c:barChart>
      <c:catAx>
        <c:axId val="50690175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506893224"/>
        <c:crosses val="autoZero"/>
        <c:auto val="1"/>
        <c:lblAlgn val="ctr"/>
        <c:lblOffset val="100"/>
        <c:noMultiLvlLbl val="0"/>
      </c:catAx>
      <c:valAx>
        <c:axId val="506893224"/>
        <c:scaling>
          <c:orientation val="minMax"/>
        </c:scaling>
        <c:delete val="0"/>
        <c:axPos val="t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506901752"/>
        <c:crosses val="autoZero"/>
        <c:crossBetween val="between"/>
      </c:valAx>
      <c:spPr>
        <a:solidFill>
          <a:schemeClr val="bg2">
            <a:lumMod val="90000"/>
          </a:schemeClr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>
        <a:lumMod val="9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>
          <a:latin typeface="Candara" panose="020E0502030303020204" pitchFamily="34" charset="0"/>
        </a:defRPr>
      </a:pPr>
      <a:endParaRPr lang="ro-RO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557353515159697"/>
          <c:y val="0.11351708446314157"/>
          <c:w val="0.56147878817204488"/>
          <c:h val="0.83518252217263955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DE4-492C-AE55-B7CC0929C209}"/>
              </c:ext>
            </c:extLst>
          </c:dPt>
          <c:dPt>
            <c:idx val="1"/>
            <c:bubble3D val="0"/>
            <c:spPr>
              <a:solidFill>
                <a:schemeClr val="bg2">
                  <a:lumMod val="7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DE4-492C-AE55-B7CC0929C209}"/>
              </c:ext>
            </c:extLst>
          </c:dPt>
          <c:dLbls>
            <c:dLbl>
              <c:idx val="0"/>
              <c:layout>
                <c:manualLayout>
                  <c:x val="-0.18474315912978989"/>
                  <c:y val="-0.1680944152358543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spc="0" baseline="0">
                      <a:solidFill>
                        <a:schemeClr val="tx2">
                          <a:lumMod val="75000"/>
                        </a:schemeClr>
                      </a:solidFill>
                      <a:latin typeface="Candara" panose="020E0502030303020204" pitchFamily="34" charset="0"/>
                      <a:ea typeface="+mn-ea"/>
                      <a:cs typeface="+mn-cs"/>
                    </a:defRPr>
                  </a:pPr>
                  <a:endParaRPr lang="ro-R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DE4-492C-AE55-B7CC0929C209}"/>
                </c:ext>
              </c:extLst>
            </c:dLbl>
            <c:dLbl>
              <c:idx val="1"/>
              <c:layout>
                <c:manualLayout>
                  <c:x val="7.5167478178949226E-2"/>
                  <c:y val="0.1250435677782271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spc="0" baseline="0">
                      <a:solidFill>
                        <a:schemeClr val="tx2">
                          <a:lumMod val="75000"/>
                        </a:schemeClr>
                      </a:solidFill>
                      <a:latin typeface="Candara" panose="020E0502030303020204" pitchFamily="34" charset="0"/>
                      <a:ea typeface="+mn-ea"/>
                      <a:cs typeface="+mn-cs"/>
                    </a:defRPr>
                  </a:pPr>
                  <a:endParaRPr lang="ro-R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DE4-492C-AE55-B7CC0929C20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spc="0" baseline="0">
                    <a:solidFill>
                      <a:schemeClr val="tx2">
                        <a:lumMod val="7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hiddenPage!$A$10:$A$11</c:f>
              <c:strCache>
                <c:ptCount val="2"/>
                <c:pt idx="0">
                  <c:v>Total liabilities</c:v>
                </c:pt>
                <c:pt idx="1">
                  <c:v>Total Equity</c:v>
                </c:pt>
              </c:strCache>
            </c:strRef>
          </c:cat>
          <c:val>
            <c:numRef>
              <c:f>hiddenPage!$I$10:$I$11</c:f>
              <c:numCache>
                <c:formatCode>"lei"#,##0_);\("lei"#,##0\)</c:formatCode>
                <c:ptCount val="2"/>
                <c:pt idx="0">
                  <c:v>157657014.43284985</c:v>
                </c:pt>
                <c:pt idx="1">
                  <c:v>142784719.07606646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DE4-492C-AE55-B7CC0929C209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>
        <a:lumMod val="9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hiddenPage!$A$7</c:f>
          <c:strCache>
            <c:ptCount val="1"/>
            <c:pt idx="0">
              <c:v>Total liabilities vs. Total Equity</c:v>
            </c:pt>
          </c:strCache>
        </c:strRef>
      </c:tx>
      <c:layout>
        <c:manualLayout>
          <c:xMode val="edge"/>
          <c:yMode val="edge"/>
          <c:x val="0.18519990898194721"/>
          <c:y val="1.3652338168876618E-2"/>
        </c:manualLayout>
      </c:layout>
      <c:overlay val="0"/>
      <c:spPr>
        <a:solidFill>
          <a:schemeClr val="bg2">
            <a:lumMod val="7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ysClr val="windowText" lastClr="000000"/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ro-RO"/>
        </a:p>
      </c:txPr>
    </c:title>
    <c:autoTitleDeleted val="0"/>
    <c:plotArea>
      <c:layout>
        <c:manualLayout>
          <c:layoutTarget val="inner"/>
          <c:xMode val="edge"/>
          <c:yMode val="edge"/>
          <c:x val="8.4300179654819327E-2"/>
          <c:y val="0.15712743896531589"/>
          <c:w val="0.91569982034518072"/>
          <c:h val="0.6222938553850341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hiddenPage!$A$10</c:f>
              <c:strCache>
                <c:ptCount val="1"/>
                <c:pt idx="0">
                  <c:v>Total liabilities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strRef>
                  <c:f>hiddenPage!$F$41</c:f>
                  <c:strCache>
                    <c:ptCount val="1"/>
                    <c:pt idx="0">
                      <c:v>54%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{B445B504-4D6F-4F00-8237-B2CE4F50644A}</c15:txfldGUID>
                      <c15:f>hiddenPage!$F$41</c15:f>
                      <c15:dlblFieldTableCache>
                        <c:ptCount val="1"/>
                        <c:pt idx="0">
                          <c:v>54%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0337-4A67-8CDA-595CBAA78A11}"/>
                </c:ext>
              </c:extLst>
            </c:dLbl>
            <c:dLbl>
              <c:idx val="1"/>
              <c:tx>
                <c:strRef>
                  <c:f>hiddenPage!$G$41</c:f>
                  <c:strCache>
                    <c:ptCount val="1"/>
                    <c:pt idx="0">
                      <c:v>51%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{429E81A9-9AA0-49F3-AD2A-D0C0E3BD2FC4}</c15:txfldGUID>
                      <c15:f>hiddenPage!$G$41</c15:f>
                      <c15:dlblFieldTableCache>
                        <c:ptCount val="1"/>
                        <c:pt idx="0">
                          <c:v>51%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0337-4A67-8CDA-595CBAA78A11}"/>
                </c:ext>
              </c:extLst>
            </c:dLbl>
            <c:dLbl>
              <c:idx val="2"/>
              <c:tx>
                <c:strRef>
                  <c:f>hiddenPage!$H$41</c:f>
                  <c:strCache>
                    <c:ptCount val="1"/>
                    <c:pt idx="0">
                      <c:v>52%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{54F9A38F-AEA8-4EF4-A9B2-8F1C9B81B9CA}</c15:txfldGUID>
                      <c15:f>hiddenPage!$H$41</c15:f>
                      <c15:dlblFieldTableCache>
                        <c:ptCount val="1"/>
                        <c:pt idx="0">
                          <c:v>52%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0337-4A67-8CDA-595CBAA78A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hiddenPage!$F$2:$H$2</c:f>
              <c:strCache>
                <c:ptCount val="3"/>
                <c:pt idx="0">
                  <c:v>30.09.19</c:v>
                </c:pt>
                <c:pt idx="1">
                  <c:v>30.09.20</c:v>
                </c:pt>
                <c:pt idx="2">
                  <c:v>30.09.21</c:v>
                </c:pt>
              </c:strCache>
            </c:strRef>
          </c:cat>
          <c:val>
            <c:numRef>
              <c:f>hiddenPage!$F$10:$H$10</c:f>
              <c:numCache>
                <c:formatCode>_-* #,##0_-;\-* #,##0_-;_-* "-"??_-;_-@_-</c:formatCode>
                <c:ptCount val="3"/>
                <c:pt idx="0">
                  <c:v>165192940.79902285</c:v>
                </c:pt>
                <c:pt idx="1">
                  <c:v>148158420.65282285</c:v>
                </c:pt>
                <c:pt idx="2">
                  <c:v>157657014.43284985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14-4242-B919-D95F59CFEF20}"/>
            </c:ext>
          </c:extLst>
        </c:ser>
        <c:ser>
          <c:idx val="1"/>
          <c:order val="1"/>
          <c:tx>
            <c:strRef>
              <c:f>hiddenPage!$A$11</c:f>
              <c:strCache>
                <c:ptCount val="1"/>
                <c:pt idx="0">
                  <c:v>Total Equity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strRef>
                  <c:f>hiddenPage!$F$42</c:f>
                  <c:strCache>
                    <c:ptCount val="1"/>
                    <c:pt idx="0">
                      <c:v>46%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{97DE0010-3309-4C3B-9E33-85E9BAF9EE08}</c15:txfldGUID>
                      <c15:f>hiddenPage!$F$42</c15:f>
                      <c15:dlblFieldTableCache>
                        <c:ptCount val="1"/>
                        <c:pt idx="0">
                          <c:v>46%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0337-4A67-8CDA-595CBAA78A11}"/>
                </c:ext>
              </c:extLst>
            </c:dLbl>
            <c:dLbl>
              <c:idx val="1"/>
              <c:tx>
                <c:strRef>
                  <c:f>hiddenPage!$G$42</c:f>
                  <c:strCache>
                    <c:ptCount val="1"/>
                    <c:pt idx="0">
                      <c:v>49%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{C37894BB-89A0-4215-A5EA-6129A82FAA5F}</c15:txfldGUID>
                      <c15:f>hiddenPage!$G$42</c15:f>
                      <c15:dlblFieldTableCache>
                        <c:ptCount val="1"/>
                        <c:pt idx="0">
                          <c:v>49%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0337-4A67-8CDA-595CBAA78A11}"/>
                </c:ext>
              </c:extLst>
            </c:dLbl>
            <c:dLbl>
              <c:idx val="2"/>
              <c:tx>
                <c:strRef>
                  <c:f>hiddenPage!$H$42</c:f>
                  <c:strCache>
                    <c:ptCount val="1"/>
                    <c:pt idx="0">
                      <c:v>48%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{301458EB-6ACE-48AA-B032-604380F6265C}</c15:txfldGUID>
                      <c15:f>hiddenPage!$H$42</c15:f>
                      <c15:dlblFieldTableCache>
                        <c:ptCount val="1"/>
                        <c:pt idx="0">
                          <c:v>48%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0337-4A67-8CDA-595CBAA78A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hiddenPage!$F$2:$H$2</c:f>
              <c:strCache>
                <c:ptCount val="3"/>
                <c:pt idx="0">
                  <c:v>30.09.19</c:v>
                </c:pt>
                <c:pt idx="1">
                  <c:v>30.09.20</c:v>
                </c:pt>
                <c:pt idx="2">
                  <c:v>30.09.21</c:v>
                </c:pt>
              </c:strCache>
            </c:strRef>
          </c:cat>
          <c:val>
            <c:numRef>
              <c:f>hiddenPage!$F$11:$H$11</c:f>
              <c:numCache>
                <c:formatCode>_-* #,##0_-;\-* #,##0_-;_-* "-"??_-;_-@_-</c:formatCode>
                <c:ptCount val="3"/>
                <c:pt idx="0">
                  <c:v>141717247.34377953</c:v>
                </c:pt>
                <c:pt idx="1">
                  <c:v>142017124.61826012</c:v>
                </c:pt>
                <c:pt idx="2">
                  <c:v>142784719.07606646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14-4242-B919-D95F59CFEF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100"/>
        <c:axId val="617263200"/>
        <c:axId val="617269760"/>
      </c:barChart>
      <c:scatterChart>
        <c:scatterStyle val="lineMarker"/>
        <c:varyColors val="0"/>
        <c:ser>
          <c:idx val="2"/>
          <c:order val="2"/>
          <c:tx>
            <c:strRef>
              <c:f>hiddenPage!$A$12</c:f>
              <c:strCache>
                <c:ptCount val="1"/>
                <c:pt idx="0">
                  <c:v>Total Equity&amp;Liabilities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hiddenPage!$F$2:$H$2</c:f>
              <c:strCache>
                <c:ptCount val="3"/>
                <c:pt idx="0">
                  <c:v>30.09.19</c:v>
                </c:pt>
                <c:pt idx="1">
                  <c:v>30.09.20</c:v>
                </c:pt>
                <c:pt idx="2">
                  <c:v>30.09.21</c:v>
                </c:pt>
              </c:strCache>
            </c:strRef>
          </c:xVal>
          <c:yVal>
            <c:numRef>
              <c:f>hiddenPage!$F$12:$H$12</c:f>
              <c:numCache>
                <c:formatCode>_-* #,##0_-;\-* #,##0_-;_-* "-"??_-;_-@_-</c:formatCode>
                <c:ptCount val="3"/>
                <c:pt idx="0">
                  <c:v>306910188.14280236</c:v>
                </c:pt>
                <c:pt idx="1">
                  <c:v>290175545.271083</c:v>
                </c:pt>
                <c:pt idx="2">
                  <c:v>300441733.50891632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0337-4A67-8CDA-595CBAA78A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7263200"/>
        <c:axId val="617269760"/>
      </c:scatterChart>
      <c:catAx>
        <c:axId val="617263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617269760"/>
        <c:crosses val="autoZero"/>
        <c:auto val="1"/>
        <c:lblAlgn val="ctr"/>
        <c:lblOffset val="100"/>
        <c:noMultiLvlLbl val="0"/>
      </c:catAx>
      <c:valAx>
        <c:axId val="617269760"/>
        <c:scaling>
          <c:orientation val="minMax"/>
        </c:scaling>
        <c:delete val="1"/>
        <c:axPos val="l"/>
        <c:numFmt formatCode="_-* #,##0_-;\-* #,##0_-;_-* &quot;-&quot;??_-;_-@_-" sourceLinked="1"/>
        <c:majorTickMark val="none"/>
        <c:minorTickMark val="none"/>
        <c:tickLblPos val="nextTo"/>
        <c:crossAx val="617263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513649410051392E-3"/>
          <c:y val="0.89776428988043167"/>
          <c:w val="0.99148635058994861"/>
          <c:h val="7.9533739325992822E-2"/>
        </c:manualLayout>
      </c:layout>
      <c:overlay val="0"/>
      <c:spPr>
        <a:solidFill>
          <a:schemeClr val="bg2">
            <a:lumMod val="90000"/>
          </a:schemeClr>
        </a:solidFill>
        <a:ln>
          <a:solidFill>
            <a:schemeClr val="bg2">
              <a:lumMod val="2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ro-R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>
        <a:lumMod val="90000"/>
      </a:schemeClr>
    </a:solidFill>
    <a:ln w="9525" cap="flat" cmpd="sng" algn="ctr">
      <a:solidFill>
        <a:schemeClr val="tx2">
          <a:lumMod val="50000"/>
        </a:schemeClr>
      </a:solidFill>
      <a:round/>
    </a:ln>
    <a:effectLst/>
  </c:spPr>
  <c:txPr>
    <a:bodyPr/>
    <a:lstStyle/>
    <a:p>
      <a:pPr>
        <a:defRPr sz="1000">
          <a:latin typeface="Candara" panose="020E0502030303020204" pitchFamily="34" charset="0"/>
        </a:defRPr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hiddenPage!$A$48</c:f>
          <c:strCache>
            <c:ptCount val="1"/>
            <c:pt idx="0">
              <c:v>The evolution of the item Current assets during the period 2019 - 2021</c:v>
            </c:pt>
          </c:strCache>
        </c:strRef>
      </c:tx>
      <c:overlay val="0"/>
      <c:spPr>
        <a:solidFill>
          <a:schemeClr val="bg2">
            <a:lumMod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bg1"/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ro-R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4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hiddenPage!$F$45:$H$45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hiddenPage!$F$46:$H$46</c:f>
              <c:numCache>
                <c:formatCode>_-* #,##0_-;\-* #,##0_-;_-* "-"??_-;_-@_-</c:formatCode>
                <c:ptCount val="3"/>
                <c:pt idx="0">
                  <c:v>96701134.125047624</c:v>
                </c:pt>
                <c:pt idx="1">
                  <c:v>103026397.10403591</c:v>
                </c:pt>
                <c:pt idx="2">
                  <c:v>126480541.12704095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86-4EAF-968E-80EE77248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65655599"/>
        <c:axId val="1665629391"/>
      </c:lineChart>
      <c:catAx>
        <c:axId val="16656555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1665629391"/>
        <c:crosses val="autoZero"/>
        <c:auto val="1"/>
        <c:lblAlgn val="ctr"/>
        <c:lblOffset val="100"/>
        <c:noMultiLvlLbl val="0"/>
      </c:catAx>
      <c:valAx>
        <c:axId val="1665629391"/>
        <c:scaling>
          <c:orientation val="minMax"/>
        </c:scaling>
        <c:delete val="1"/>
        <c:axPos val="l"/>
        <c:numFmt formatCode="_-* #,##0_-;\-* #,##0_-;_-* &quot;-&quot;??_-;_-@_-" sourceLinked="1"/>
        <c:majorTickMark val="none"/>
        <c:minorTickMark val="none"/>
        <c:tickLblPos val="nextTo"/>
        <c:crossAx val="1665655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>
        <a:lumMod val="90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3.Profit or loss statement'!A1"/><Relationship Id="rId7" Type="http://schemas.openxmlformats.org/officeDocument/2006/relationships/hyperlink" Target="#'2.FinancialPosition-Comparison'!A1"/><Relationship Id="rId2" Type="http://schemas.openxmlformats.org/officeDocument/2006/relationships/hyperlink" Target="#'1.FinancialPosition'!A1"/><Relationship Id="rId1" Type="http://schemas.openxmlformats.org/officeDocument/2006/relationships/hyperlink" Target="#Snapshots!A1"/><Relationship Id="rId6" Type="http://schemas.openxmlformats.org/officeDocument/2006/relationships/hyperlink" Target="#Charts!A1"/><Relationship Id="rId5" Type="http://schemas.openxmlformats.org/officeDocument/2006/relationships/chart" Target="../charts/chart1.xml"/><Relationship Id="rId4" Type="http://schemas.openxmlformats.org/officeDocument/2006/relationships/hyperlink" Target="#'4.Financial ratios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Contents!H6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Contents!H6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Contents!H6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Contents!H6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Contents!H6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8.xml"/><Relationship Id="rId5" Type="http://schemas.openxmlformats.org/officeDocument/2006/relationships/hyperlink" Target="#Contents!H6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338666</xdr:colOff>
      <xdr:row>0</xdr:row>
      <xdr:rowOff>123825</xdr:rowOff>
    </xdr:from>
    <xdr:to>
      <xdr:col>19</xdr:col>
      <xdr:colOff>600074</xdr:colOff>
      <xdr:row>4</xdr:row>
      <xdr:rowOff>76200</xdr:rowOff>
    </xdr:to>
    <xdr:sp macro="" textlink="">
      <xdr:nvSpPr>
        <xdr:cNvPr id="9" name="Title 1">
          <a:extLst>
            <a:ext uri="{FF2B5EF4-FFF2-40B4-BE49-F238E27FC236}">
              <a16:creationId xmlns:a16="http://schemas.microsoft.com/office/drawing/2014/main" id="{30E4A61E-EE59-45FF-BA59-CE32CE3A4C7F}"/>
            </a:ext>
          </a:extLst>
        </xdr:cNvPr>
        <xdr:cNvSpPr>
          <a:spLocks noGrp="1"/>
        </xdr:cNvSpPr>
      </xdr:nvSpPr>
      <xdr:spPr>
        <a:xfrm>
          <a:off x="3926416" y="123825"/>
          <a:ext cx="6061075" cy="714375"/>
        </a:xfrm>
        <a:prstGeom prst="rect">
          <a:avLst/>
        </a:prstGeom>
        <a:solidFill>
          <a:schemeClr val="bg2">
            <a:lumMod val="50000"/>
          </a:schemeClr>
        </a:solidFill>
        <a:ln>
          <a:solidFill>
            <a:schemeClr val="tx1">
              <a:lumMod val="85000"/>
              <a:lumOff val="15000"/>
            </a:schemeClr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="horz" wrap="square" lIns="91440" tIns="45720" rIns="91440" bIns="45720" rtlCol="0" anchor="ctr">
          <a:normAutofit/>
        </a:bodyPr>
        <a:lstStyle>
          <a:lvl1pPr algn="l" defTabSz="685800" rtl="0" eaLnBrk="1" latinLnBrk="0" hangingPunct="1">
            <a:lnSpc>
              <a:spcPct val="90000"/>
            </a:lnSpc>
            <a:spcBef>
              <a:spcPct val="0"/>
            </a:spcBef>
            <a:buNone/>
            <a:defRPr sz="33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>
            <a:defRPr/>
          </a:pPr>
          <a:r>
            <a:rPr lang="en-US" sz="2800" b="1">
              <a:ln>
                <a:solidFill>
                  <a:schemeClr val="tx2">
                    <a:lumMod val="50000"/>
                  </a:schemeClr>
                </a:solidFill>
              </a:ln>
              <a:solidFill>
                <a:schemeClr val="bg1"/>
              </a:solidFill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Candara" panose="020E0502030303020204" pitchFamily="34" charset="0"/>
            </a:rPr>
            <a:t>TABLE OF CONTENTS</a:t>
          </a:r>
        </a:p>
      </xdr:txBody>
    </xdr:sp>
    <xdr:clientData/>
  </xdr:twoCellAnchor>
  <xdr:twoCellAnchor>
    <xdr:from>
      <xdr:col>20</xdr:col>
      <xdr:colOff>239184</xdr:colOff>
      <xdr:row>10</xdr:row>
      <xdr:rowOff>150286</xdr:rowOff>
    </xdr:from>
    <xdr:to>
      <xdr:col>23</xdr:col>
      <xdr:colOff>596900</xdr:colOff>
      <xdr:row>12</xdr:row>
      <xdr:rowOff>190503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60DAE45-A9A8-4312-ABDB-3A45DB62C517}"/>
            </a:ext>
          </a:extLst>
        </xdr:cNvPr>
        <xdr:cNvSpPr/>
      </xdr:nvSpPr>
      <xdr:spPr>
        <a:xfrm>
          <a:off x="10433051" y="1894419"/>
          <a:ext cx="2059516" cy="497417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50" b="1">
              <a:solidFill>
                <a:sysClr val="windowText" lastClr="000000"/>
              </a:solidFill>
              <a:latin typeface="Candara" panose="020E0502030303020204" pitchFamily="34" charset="0"/>
            </a:rPr>
            <a:t>SNAPSHOTS</a:t>
          </a:r>
        </a:p>
      </xdr:txBody>
    </xdr:sp>
    <xdr:clientData/>
  </xdr:twoCellAnchor>
  <xdr:twoCellAnchor>
    <xdr:from>
      <xdr:col>20</xdr:col>
      <xdr:colOff>246591</xdr:colOff>
      <xdr:row>13</xdr:row>
      <xdr:rowOff>35985</xdr:rowOff>
    </xdr:from>
    <xdr:to>
      <xdr:col>23</xdr:col>
      <xdr:colOff>604608</xdr:colOff>
      <xdr:row>15</xdr:row>
      <xdr:rowOff>95900</xdr:rowOff>
    </xdr:to>
    <xdr:sp macro="" textlink="">
      <xdr:nvSpPr>
        <xdr:cNvPr id="8" name="Rectangle: Rounded Corners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1F8F312-05FC-45EC-919F-81B74F0BBF5B}"/>
            </a:ext>
          </a:extLst>
        </xdr:cNvPr>
        <xdr:cNvSpPr/>
      </xdr:nvSpPr>
      <xdr:spPr>
        <a:xfrm>
          <a:off x="10440458" y="2465918"/>
          <a:ext cx="2059817" cy="483249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50" b="1">
              <a:solidFill>
                <a:sysClr val="windowText" lastClr="000000"/>
              </a:solidFill>
              <a:latin typeface="Candara" panose="020E0502030303020204" pitchFamily="34" charset="0"/>
            </a:rPr>
            <a:t>FINANCIAL</a:t>
          </a:r>
          <a:r>
            <a:rPr lang="en-GB" sz="1050" b="1" baseline="0">
              <a:solidFill>
                <a:sysClr val="windowText" lastClr="000000"/>
              </a:solidFill>
              <a:latin typeface="Candara" panose="020E0502030303020204" pitchFamily="34" charset="0"/>
            </a:rPr>
            <a:t> POSITION</a:t>
          </a:r>
          <a:endParaRPr lang="en-GB" sz="1050" b="1">
            <a:solidFill>
              <a:sysClr val="windowText" lastClr="000000"/>
            </a:solidFill>
            <a:latin typeface="Candara" panose="020E0502030303020204" pitchFamily="34" charset="0"/>
          </a:endParaRPr>
        </a:p>
      </xdr:txBody>
    </xdr:sp>
    <xdr:clientData/>
  </xdr:twoCellAnchor>
  <xdr:twoCellAnchor>
    <xdr:from>
      <xdr:col>24</xdr:col>
      <xdr:colOff>191558</xdr:colOff>
      <xdr:row>10</xdr:row>
      <xdr:rowOff>130174</xdr:rowOff>
    </xdr:from>
    <xdr:to>
      <xdr:col>27</xdr:col>
      <xdr:colOff>371775</xdr:colOff>
      <xdr:row>12</xdr:row>
      <xdr:rowOff>175274</xdr:rowOff>
    </xdr:to>
    <xdr:sp macro="" textlink="">
      <xdr:nvSpPr>
        <xdr:cNvPr id="11" name="Rectangle: Rounded Corners 1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26C9ED3-5663-4DB8-B52A-6FC03136AB92}"/>
            </a:ext>
          </a:extLst>
        </xdr:cNvPr>
        <xdr:cNvSpPr/>
      </xdr:nvSpPr>
      <xdr:spPr>
        <a:xfrm>
          <a:off x="12713758" y="1874307"/>
          <a:ext cx="2059817" cy="502300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50" b="1">
              <a:solidFill>
                <a:sysClr val="windowText" lastClr="000000"/>
              </a:solidFill>
              <a:latin typeface="Candara" panose="020E0502030303020204" pitchFamily="34" charset="0"/>
            </a:rPr>
            <a:t>PROFIT</a:t>
          </a:r>
          <a:r>
            <a:rPr lang="en-GB" sz="1050" b="1" baseline="0">
              <a:solidFill>
                <a:sysClr val="windowText" lastClr="000000"/>
              </a:solidFill>
              <a:latin typeface="Candara" panose="020E0502030303020204" pitchFamily="34" charset="0"/>
            </a:rPr>
            <a:t> OR LOSS ACCOUNT</a:t>
          </a:r>
          <a:endParaRPr lang="en-GB" sz="1050" b="1">
            <a:solidFill>
              <a:sysClr val="windowText" lastClr="000000"/>
            </a:solidFill>
            <a:latin typeface="Candara" panose="020E0502030303020204" pitchFamily="34" charset="0"/>
          </a:endParaRPr>
        </a:p>
      </xdr:txBody>
    </xdr:sp>
    <xdr:clientData/>
  </xdr:twoCellAnchor>
  <xdr:twoCellAnchor>
    <xdr:from>
      <xdr:col>24</xdr:col>
      <xdr:colOff>179917</xdr:colOff>
      <xdr:row>13</xdr:row>
      <xdr:rowOff>48683</xdr:rowOff>
    </xdr:from>
    <xdr:to>
      <xdr:col>27</xdr:col>
      <xdr:colOff>360134</xdr:colOff>
      <xdr:row>15</xdr:row>
      <xdr:rowOff>127648</xdr:rowOff>
    </xdr:to>
    <xdr:sp macro="" textlink="">
      <xdr:nvSpPr>
        <xdr:cNvPr id="13" name="Rectangle: Rounded Corners 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EBD86A7-2DB3-44FD-843E-2F3C37F5A2EE}"/>
            </a:ext>
          </a:extLst>
        </xdr:cNvPr>
        <xdr:cNvSpPr/>
      </xdr:nvSpPr>
      <xdr:spPr>
        <a:xfrm>
          <a:off x="12702117" y="2478616"/>
          <a:ext cx="2059817" cy="502299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50" b="1">
              <a:solidFill>
                <a:sysClr val="windowText" lastClr="000000"/>
              </a:solidFill>
              <a:latin typeface="Candara" panose="020E0502030303020204" pitchFamily="34" charset="0"/>
            </a:rPr>
            <a:t>FINANCIAL RATIOS</a:t>
          </a:r>
        </a:p>
      </xdr:txBody>
    </xdr:sp>
    <xdr:clientData/>
  </xdr:twoCellAnchor>
  <xdr:twoCellAnchor>
    <xdr:from>
      <xdr:col>7</xdr:col>
      <xdr:colOff>10583</xdr:colOff>
      <xdr:row>10</xdr:row>
      <xdr:rowOff>0</xdr:rowOff>
    </xdr:from>
    <xdr:to>
      <xdr:col>19</xdr:col>
      <xdr:colOff>603249</xdr:colOff>
      <xdr:row>19</xdr:row>
      <xdr:rowOff>169333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4B538D89-7D1F-4FC4-BC66-E2A7A244C8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24</xdr:col>
      <xdr:colOff>203199</xdr:colOff>
      <xdr:row>16</xdr:row>
      <xdr:rowOff>19049</xdr:rowOff>
    </xdr:from>
    <xdr:to>
      <xdr:col>27</xdr:col>
      <xdr:colOff>383416</xdr:colOff>
      <xdr:row>18</xdr:row>
      <xdr:rowOff>121299</xdr:rowOff>
    </xdr:to>
    <xdr:sp macro="" textlink="">
      <xdr:nvSpPr>
        <xdr:cNvPr id="14" name="Rectangle: Rounded Corners 13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9237CBE-DE8F-4D0E-8544-86F0D27F8950}"/>
            </a:ext>
          </a:extLst>
        </xdr:cNvPr>
        <xdr:cNvSpPr/>
      </xdr:nvSpPr>
      <xdr:spPr>
        <a:xfrm>
          <a:off x="12725399" y="3067049"/>
          <a:ext cx="2059817" cy="491717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50" b="1">
              <a:solidFill>
                <a:sysClr val="windowText" lastClr="000000"/>
              </a:solidFill>
              <a:latin typeface="Candara" panose="020E0502030303020204" pitchFamily="34" charset="0"/>
            </a:rPr>
            <a:t>INTERACTIVE CHARTS</a:t>
          </a:r>
        </a:p>
      </xdr:txBody>
    </xdr:sp>
    <xdr:clientData/>
  </xdr:twoCellAnchor>
  <xdr:twoCellAnchor>
    <xdr:from>
      <xdr:col>20</xdr:col>
      <xdr:colOff>268815</xdr:colOff>
      <xdr:row>16</xdr:row>
      <xdr:rowOff>10581</xdr:rowOff>
    </xdr:from>
    <xdr:to>
      <xdr:col>24</xdr:col>
      <xdr:colOff>299</xdr:colOff>
      <xdr:row>18</xdr:row>
      <xdr:rowOff>81080</xdr:rowOff>
    </xdr:to>
    <xdr:sp macro="" textlink="">
      <xdr:nvSpPr>
        <xdr:cNvPr id="15" name="Rectangle: Rounded Corners 14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57559AA-8B6A-4607-8ADD-27FAA57BD49C}"/>
            </a:ext>
          </a:extLst>
        </xdr:cNvPr>
        <xdr:cNvSpPr/>
      </xdr:nvSpPr>
      <xdr:spPr>
        <a:xfrm>
          <a:off x="10462682" y="3058581"/>
          <a:ext cx="2059817" cy="459966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  <a:latin typeface="Candara" panose="020E0502030303020204" pitchFamily="34" charset="0"/>
            </a:rPr>
            <a:t>FINANCIAL</a:t>
          </a:r>
          <a:r>
            <a:rPr lang="en-GB" sz="1000" b="1" baseline="0">
              <a:solidFill>
                <a:sysClr val="windowText" lastClr="000000"/>
              </a:solidFill>
              <a:latin typeface="Candara" panose="020E0502030303020204" pitchFamily="34" charset="0"/>
            </a:rPr>
            <a:t> POSITION COMPARISON</a:t>
          </a:r>
          <a:endParaRPr lang="en-GB" sz="1000" b="1">
            <a:solidFill>
              <a:sysClr val="windowText" lastClr="000000"/>
            </a:solidFill>
            <a:latin typeface="Candara" panose="020E0502030303020204" pitchFamily="34" charset="0"/>
          </a:endParaRPr>
        </a:p>
      </xdr:txBody>
    </xdr:sp>
    <xdr:clientData/>
  </xdr:twoCellAnchor>
  <xdr:twoCellAnchor editAs="oneCell">
    <xdr:from>
      <xdr:col>15</xdr:col>
      <xdr:colOff>531283</xdr:colOff>
      <xdr:row>1</xdr:row>
      <xdr:rowOff>56092</xdr:rowOff>
    </xdr:from>
    <xdr:to>
      <xdr:col>19</xdr:col>
      <xdr:colOff>414867</xdr:colOff>
      <xdr:row>3</xdr:row>
      <xdr:rowOff>186055</xdr:rowOff>
    </xdr:to>
    <xdr:pic>
      <xdr:nvPicPr>
        <xdr:cNvPr id="12" name="Imagine 1" descr="O imagine care conține text&#10;&#10;Descriere generată automat">
          <a:extLst>
            <a:ext uri="{FF2B5EF4-FFF2-40B4-BE49-F238E27FC236}">
              <a16:creationId xmlns:a16="http://schemas.microsoft.com/office/drawing/2014/main" id="{42CCAFAD-A1AD-467D-99A6-A1CAA39F2421}"/>
            </a:ext>
          </a:extLst>
        </xdr:cNvPr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57683" y="157692"/>
          <a:ext cx="2135717" cy="50249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321945</xdr:colOff>
      <xdr:row>1</xdr:row>
      <xdr:rowOff>161925</xdr:rowOff>
    </xdr:from>
    <xdr:to>
      <xdr:col>6</xdr:col>
      <xdr:colOff>557917</xdr:colOff>
      <xdr:row>2</xdr:row>
      <xdr:rowOff>228600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91862D-4882-4FBA-9D2B-056665464097}"/>
            </a:ext>
          </a:extLst>
        </xdr:cNvPr>
        <xdr:cNvSpPr/>
      </xdr:nvSpPr>
      <xdr:spPr>
        <a:xfrm>
          <a:off x="9915525" y="344805"/>
          <a:ext cx="860812" cy="257175"/>
        </a:xfrm>
        <a:prstGeom prst="roundRect">
          <a:avLst/>
        </a:prstGeom>
        <a:solidFill>
          <a:schemeClr val="accent4">
            <a:lumMod val="40000"/>
            <a:lumOff val="6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  <a:latin typeface="Candara" panose="020E0502030303020204" pitchFamily="34" charset="0"/>
            </a:rPr>
            <a:t>CONTENTS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304799</xdr:colOff>
      <xdr:row>0</xdr:row>
      <xdr:rowOff>106680</xdr:rowOff>
    </xdr:from>
    <xdr:to>
      <xdr:col>17</xdr:col>
      <xdr:colOff>347132</xdr:colOff>
      <xdr:row>18</xdr:row>
      <xdr:rowOff>160866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E8A9C5C-1E4D-4454-801A-A0D9899B76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329354</xdr:colOff>
      <xdr:row>19</xdr:row>
      <xdr:rowOff>82126</xdr:rowOff>
    </xdr:from>
    <xdr:to>
      <xdr:col>17</xdr:col>
      <xdr:colOff>381000</xdr:colOff>
      <xdr:row>34</xdr:row>
      <xdr:rowOff>38523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1011DC23-E5D2-4001-BB5D-2F7403E45B10}"/>
            </a:ext>
          </a:extLst>
        </xdr:cNvPr>
        <xdr:cNvGrpSpPr/>
      </xdr:nvGrpSpPr>
      <xdr:grpSpPr>
        <a:xfrm>
          <a:off x="7661487" y="4239259"/>
          <a:ext cx="5538046" cy="2851997"/>
          <a:chOff x="7984067" y="2837603"/>
          <a:chExt cx="5158740" cy="2791037"/>
        </a:xfrm>
      </xdr:grpSpPr>
      <xdr:graphicFrame macro="">
        <xdr:nvGraphicFramePr>
          <xdr:cNvPr id="8" name="Chart 7">
            <a:extLst>
              <a:ext uri="{FF2B5EF4-FFF2-40B4-BE49-F238E27FC236}">
                <a16:creationId xmlns:a16="http://schemas.microsoft.com/office/drawing/2014/main" id="{F783DEEF-3054-4579-9EB9-4E0002C56EDC}"/>
              </a:ext>
            </a:extLst>
          </xdr:cNvPr>
          <xdr:cNvGraphicFramePr/>
        </xdr:nvGraphicFramePr>
        <xdr:xfrm>
          <a:off x="7984067" y="2837603"/>
          <a:ext cx="5158740" cy="279103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cxnSp macro="">
        <xdr:nvCxnSpPr>
          <xdr:cNvPr id="9" name="Straight Arrow Connector 8">
            <a:extLst>
              <a:ext uri="{FF2B5EF4-FFF2-40B4-BE49-F238E27FC236}">
                <a16:creationId xmlns:a16="http://schemas.microsoft.com/office/drawing/2014/main" id="{530A772A-60C7-424A-B7C7-AFA04CE0B5E5}"/>
              </a:ext>
            </a:extLst>
          </xdr:cNvPr>
          <xdr:cNvCxnSpPr/>
        </xdr:nvCxnSpPr>
        <xdr:spPr>
          <a:xfrm>
            <a:off x="8390467" y="3276600"/>
            <a:ext cx="4343400" cy="0"/>
          </a:xfrm>
          <a:prstGeom prst="straightConnector1">
            <a:avLst/>
          </a:prstGeom>
          <a:ln>
            <a:solidFill>
              <a:schemeClr val="accent4">
                <a:lumMod val="60000"/>
                <a:lumOff val="40000"/>
              </a:schemeClr>
            </a:solidFill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$J$19">
        <xdr:nvSpPr>
          <xdr:cNvPr id="10" name="Oval 9">
            <a:extLst>
              <a:ext uri="{FF2B5EF4-FFF2-40B4-BE49-F238E27FC236}">
                <a16:creationId xmlns:a16="http://schemas.microsoft.com/office/drawing/2014/main" id="{CC5783A5-1797-42C5-8F28-FF099CA9DE87}"/>
              </a:ext>
            </a:extLst>
          </xdr:cNvPr>
          <xdr:cNvSpPr/>
        </xdr:nvSpPr>
        <xdr:spPr>
          <a:xfrm>
            <a:off x="10232814" y="3087793"/>
            <a:ext cx="609600" cy="407247"/>
          </a:xfrm>
          <a:prstGeom prst="ellipse">
            <a:avLst/>
          </a:prstGeom>
          <a:solidFill>
            <a:schemeClr val="accent4">
              <a:lumMod val="40000"/>
              <a:lumOff val="60000"/>
            </a:schemeClr>
          </a:solidFill>
          <a:ln>
            <a:solidFill>
              <a:schemeClr val="accent4">
                <a:lumMod val="60000"/>
                <a:lumOff val="4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fld id="{7073DE5C-DB10-49D5-965A-DDFF33B0D1CF}" type="TxLink">
              <a:rPr lang="en-US" sz="1100" b="0" i="0" u="none" strike="noStrike">
                <a:solidFill>
                  <a:sysClr val="windowText" lastClr="000000"/>
                </a:solidFill>
                <a:latin typeface="Candara"/>
              </a:rPr>
              <a:pPr algn="ctr"/>
              <a:t>32%</a:t>
            </a:fld>
            <a:endParaRPr lang="ro-RO" sz="1000">
              <a:solidFill>
                <a:sysClr val="windowText" lastClr="000000"/>
              </a:solidFill>
              <a:latin typeface="Candara" panose="020E0502030303020204" pitchFamily="34" charset="0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</xdr:row>
      <xdr:rowOff>0</xdr:rowOff>
    </xdr:from>
    <xdr:to>
      <xdr:col>10</xdr:col>
      <xdr:colOff>860812</xdr:colOff>
      <xdr:row>2</xdr:row>
      <xdr:rowOff>257175</xdr:rowOff>
    </xdr:to>
    <xdr:sp macro="" textlink="">
      <xdr:nvSpPr>
        <xdr:cNvPr id="3" name="Rectangle: Rounded Corner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02E3DFD-A967-407B-8522-4C2D86C1EAA5}"/>
            </a:ext>
          </a:extLst>
        </xdr:cNvPr>
        <xdr:cNvSpPr/>
      </xdr:nvSpPr>
      <xdr:spPr>
        <a:xfrm>
          <a:off x="11140440" y="373380"/>
          <a:ext cx="860812" cy="257175"/>
        </a:xfrm>
        <a:prstGeom prst="roundRect">
          <a:avLst/>
        </a:prstGeom>
        <a:solidFill>
          <a:schemeClr val="accent4">
            <a:lumMod val="40000"/>
            <a:lumOff val="6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  <a:latin typeface="Candara" panose="020E0502030303020204" pitchFamily="34" charset="0"/>
            </a:rPr>
            <a:t>CONTENTS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525780</xdr:colOff>
      <xdr:row>0</xdr:row>
      <xdr:rowOff>106680</xdr:rowOff>
    </xdr:from>
    <xdr:to>
      <xdr:col>20</xdr:col>
      <xdr:colOff>464572</xdr:colOff>
      <xdr:row>2</xdr:row>
      <xdr:rowOff>51435</xdr:rowOff>
    </xdr:to>
    <xdr:sp macro="" textlink="">
      <xdr:nvSpPr>
        <xdr:cNvPr id="3" name="Rectangle: Rounded Corner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7AD2096-0AD5-4931-9EEF-9284CF29DB8A}"/>
            </a:ext>
          </a:extLst>
        </xdr:cNvPr>
        <xdr:cNvSpPr/>
      </xdr:nvSpPr>
      <xdr:spPr>
        <a:xfrm>
          <a:off x="12633960" y="106680"/>
          <a:ext cx="860812" cy="257175"/>
        </a:xfrm>
        <a:prstGeom prst="roundRect">
          <a:avLst/>
        </a:prstGeom>
        <a:solidFill>
          <a:schemeClr val="accent4">
            <a:lumMod val="40000"/>
            <a:lumOff val="6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  <a:latin typeface="Candara" panose="020E0502030303020204" pitchFamily="34" charset="0"/>
            </a:rPr>
            <a:t>CONTENTS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505408</xdr:colOff>
      <xdr:row>0</xdr:row>
      <xdr:rowOff>54428</xdr:rowOff>
    </xdr:from>
    <xdr:to>
      <xdr:col>7</xdr:col>
      <xdr:colOff>495363</xdr:colOff>
      <xdr:row>1</xdr:row>
      <xdr:rowOff>124991</xdr:rowOff>
    </xdr:to>
    <xdr:sp macro="" textlink="">
      <xdr:nvSpPr>
        <xdr:cNvPr id="3" name="Rectangle: Rounded Corner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F11289-723F-4FC6-87BE-2262D2C9BF39}"/>
            </a:ext>
          </a:extLst>
        </xdr:cNvPr>
        <xdr:cNvSpPr/>
      </xdr:nvSpPr>
      <xdr:spPr>
        <a:xfrm>
          <a:off x="9680510" y="54428"/>
          <a:ext cx="860812" cy="257175"/>
        </a:xfrm>
        <a:prstGeom prst="roundRect">
          <a:avLst/>
        </a:prstGeom>
        <a:solidFill>
          <a:schemeClr val="accent4">
            <a:lumMod val="40000"/>
            <a:lumOff val="6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  <a:latin typeface="Candara" panose="020E0502030303020204" pitchFamily="34" charset="0"/>
            </a:rPr>
            <a:t>CONTENTS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746760</xdr:colOff>
      <xdr:row>0</xdr:row>
      <xdr:rowOff>38100</xdr:rowOff>
    </xdr:from>
    <xdr:to>
      <xdr:col>5</xdr:col>
      <xdr:colOff>7372</xdr:colOff>
      <xdr:row>1</xdr:row>
      <xdr:rowOff>112395</xdr:rowOff>
    </xdr:to>
    <xdr:sp macro="" textlink="">
      <xdr:nvSpPr>
        <xdr:cNvPr id="3" name="Rectangle: Rounded Corner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D14497-658D-41C8-ABFC-BB7BFAF2AA9C}"/>
            </a:ext>
          </a:extLst>
        </xdr:cNvPr>
        <xdr:cNvSpPr/>
      </xdr:nvSpPr>
      <xdr:spPr>
        <a:xfrm>
          <a:off x="8420100" y="38100"/>
          <a:ext cx="860812" cy="257175"/>
        </a:xfrm>
        <a:prstGeom prst="roundRect">
          <a:avLst/>
        </a:prstGeom>
        <a:solidFill>
          <a:schemeClr val="accent4">
            <a:lumMod val="40000"/>
            <a:lumOff val="6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  <a:latin typeface="Candara" panose="020E0502030303020204" pitchFamily="34" charset="0"/>
            </a:rPr>
            <a:t>CONTENTS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3</xdr:row>
      <xdr:rowOff>138112</xdr:rowOff>
    </xdr:from>
    <xdr:to>
      <xdr:col>8</xdr:col>
      <xdr:colOff>523875</xdr:colOff>
      <xdr:row>17</xdr:row>
      <xdr:rowOff>158750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9D8FBFA-3C40-4BCF-A853-015D6F7565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911</xdr:colOff>
      <xdr:row>21</xdr:row>
      <xdr:rowOff>84215</xdr:rowOff>
    </xdr:from>
    <xdr:to>
      <xdr:col>13</xdr:col>
      <xdr:colOff>267164</xdr:colOff>
      <xdr:row>36</xdr:row>
      <xdr:rowOff>147205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3FF98DAD-3B59-4FDB-9787-C979A260FA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3714</xdr:colOff>
      <xdr:row>2</xdr:row>
      <xdr:rowOff>112145</xdr:rowOff>
    </xdr:from>
    <xdr:to>
      <xdr:col>24</xdr:col>
      <xdr:colOff>322286</xdr:colOff>
      <xdr:row>18</xdr:row>
      <xdr:rowOff>47116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8BA4D5FB-7453-4769-83AE-ED98950C7758}"/>
            </a:ext>
          </a:extLst>
        </xdr:cNvPr>
        <xdr:cNvGrpSpPr/>
      </xdr:nvGrpSpPr>
      <xdr:grpSpPr>
        <a:xfrm>
          <a:off x="10444928" y="393359"/>
          <a:ext cx="4074144" cy="2719900"/>
          <a:chOff x="9891129" y="401225"/>
          <a:chExt cx="4054219" cy="2787803"/>
        </a:xfrm>
        <a:solidFill>
          <a:schemeClr val="bg2">
            <a:lumMod val="90000"/>
          </a:schemeClr>
        </a:solidFill>
      </xdr:grpSpPr>
      <xdr:graphicFrame macro="">
        <xdr:nvGraphicFramePr>
          <xdr:cNvPr id="4" name="Chart 3">
            <a:extLst>
              <a:ext uri="{FF2B5EF4-FFF2-40B4-BE49-F238E27FC236}">
                <a16:creationId xmlns:a16="http://schemas.microsoft.com/office/drawing/2014/main" id="{DC4D9CFA-FC60-46B9-B8B1-3D8486B2D320}"/>
              </a:ext>
            </a:extLst>
          </xdr:cNvPr>
          <xdr:cNvGraphicFramePr/>
        </xdr:nvGraphicFramePr>
        <xdr:xfrm>
          <a:off x="9891129" y="401225"/>
          <a:ext cx="4045572" cy="278780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sp macro="" textlink="">
        <xdr:nvSpPr>
          <xdr:cNvPr id="12" name="Rectangle 11">
            <a:extLst>
              <a:ext uri="{FF2B5EF4-FFF2-40B4-BE49-F238E27FC236}">
                <a16:creationId xmlns:a16="http://schemas.microsoft.com/office/drawing/2014/main" id="{FF5D3A54-A3CC-46B4-93B8-C25DA7C5B204}"/>
              </a:ext>
            </a:extLst>
          </xdr:cNvPr>
          <xdr:cNvSpPr/>
        </xdr:nvSpPr>
        <xdr:spPr>
          <a:xfrm>
            <a:off x="9907679" y="401480"/>
            <a:ext cx="4037669" cy="168606"/>
          </a:xfrm>
          <a:prstGeom prst="rect">
            <a:avLst/>
          </a:prstGeom>
          <a:solidFill>
            <a:schemeClr val="bg2">
              <a:lumMod val="75000"/>
            </a:schemeClr>
          </a:solidFill>
          <a:ln>
            <a:solidFill>
              <a:schemeClr val="tx2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1050" b="1">
                <a:solidFill>
                  <a:sysClr val="windowText" lastClr="000000"/>
                </a:solidFill>
                <a:latin typeface="Candara" panose="020E0502030303020204" pitchFamily="34" charset="0"/>
              </a:rPr>
              <a:t>30th of September</a:t>
            </a:r>
          </a:p>
        </xdr:txBody>
      </xdr:sp>
    </xdr:grpSp>
    <xdr:clientData/>
  </xdr:twoCellAnchor>
  <xdr:twoCellAnchor>
    <xdr:from>
      <xdr:col>9</xdr:col>
      <xdr:colOff>25977</xdr:colOff>
      <xdr:row>2</xdr:row>
      <xdr:rowOff>98241</xdr:rowOff>
    </xdr:from>
    <xdr:to>
      <xdr:col>17</xdr:col>
      <xdr:colOff>119228</xdr:colOff>
      <xdr:row>18</xdr:row>
      <xdr:rowOff>4644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id="{401F76D4-61D9-4ED2-889A-1804297F9513}"/>
            </a:ext>
          </a:extLst>
        </xdr:cNvPr>
        <xdr:cNvGrpSpPr/>
      </xdr:nvGrpSpPr>
      <xdr:grpSpPr>
        <a:xfrm>
          <a:off x="5759120" y="379455"/>
          <a:ext cx="4547322" cy="2691332"/>
          <a:chOff x="5489125" y="386314"/>
          <a:chExt cx="4266616" cy="2759257"/>
        </a:xfrm>
        <a:solidFill>
          <a:schemeClr val="bg2">
            <a:lumMod val="75000"/>
          </a:schemeClr>
        </a:solidFill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ED16D11D-85A4-457E-9BDB-C75A67B1D9FE}"/>
              </a:ext>
            </a:extLst>
          </xdr:cNvPr>
          <xdr:cNvGraphicFramePr/>
        </xdr:nvGraphicFramePr>
        <xdr:xfrm>
          <a:off x="5489125" y="386314"/>
          <a:ext cx="4266616" cy="275925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sp macro="" textlink="'1.FinancialPosition'!B1">
        <xdr:nvSpPr>
          <xdr:cNvPr id="13" name="Rectangle 12">
            <a:extLst>
              <a:ext uri="{FF2B5EF4-FFF2-40B4-BE49-F238E27FC236}">
                <a16:creationId xmlns:a16="http://schemas.microsoft.com/office/drawing/2014/main" id="{DBFE0058-947A-430E-8651-EFDAB96FD427}"/>
              </a:ext>
            </a:extLst>
          </xdr:cNvPr>
          <xdr:cNvSpPr/>
        </xdr:nvSpPr>
        <xdr:spPr>
          <a:xfrm rot="16200000">
            <a:off x="4497654" y="1450815"/>
            <a:ext cx="2300530" cy="236337"/>
          </a:xfrm>
          <a:prstGeom prst="rect">
            <a:avLst/>
          </a:prstGeom>
          <a:solidFill>
            <a:schemeClr val="accent4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fld id="{EAE487CF-2ACE-48D1-9EC1-715482600ACC}" type="TxLink">
              <a:rPr lang="en-US" sz="1050" b="1" i="0" u="none" strike="noStrike">
                <a:solidFill>
                  <a:sysClr val="windowText" lastClr="000000"/>
                </a:solidFill>
                <a:latin typeface="Candara"/>
              </a:rPr>
              <a:pPr algn="ctr"/>
              <a:t>30 September</a:t>
            </a:fld>
            <a:endParaRPr lang="en-GB" sz="105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25</xdr:col>
      <xdr:colOff>0</xdr:colOff>
      <xdr:row>2</xdr:row>
      <xdr:rowOff>95250</xdr:rowOff>
    </xdr:from>
    <xdr:to>
      <xdr:col>26</xdr:col>
      <xdr:colOff>237357</xdr:colOff>
      <xdr:row>4</xdr:row>
      <xdr:rowOff>109971</xdr:rowOff>
    </xdr:to>
    <xdr:sp macro="" textlink="">
      <xdr:nvSpPr>
        <xdr:cNvPr id="14" name="Rectangle: Rounded Corners 1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FC2CDB8-B5A7-4FCD-88DC-4DB8C6CFC0DD}"/>
            </a:ext>
          </a:extLst>
        </xdr:cNvPr>
        <xdr:cNvSpPr/>
      </xdr:nvSpPr>
      <xdr:spPr>
        <a:xfrm>
          <a:off x="14781068" y="372341"/>
          <a:ext cx="860812" cy="257175"/>
        </a:xfrm>
        <a:prstGeom prst="roundRect">
          <a:avLst/>
        </a:prstGeom>
        <a:solidFill>
          <a:schemeClr val="accent4">
            <a:lumMod val="40000"/>
            <a:lumOff val="6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  <a:latin typeface="Candara" panose="020E0502030303020204" pitchFamily="34" charset="0"/>
            </a:rPr>
            <a:t>CONTENTS</a:t>
          </a:r>
        </a:p>
      </xdr:txBody>
    </xdr:sp>
    <xdr:clientData/>
  </xdr:twoCellAnchor>
  <xdr:twoCellAnchor>
    <xdr:from>
      <xdr:col>13</xdr:col>
      <xdr:colOff>425120</xdr:colOff>
      <xdr:row>21</xdr:row>
      <xdr:rowOff>36285</xdr:rowOff>
    </xdr:from>
    <xdr:to>
      <xdr:col>21</xdr:col>
      <xdr:colOff>374832</xdr:colOff>
      <xdr:row>37</xdr:row>
      <xdr:rowOff>18141</xdr:rowOff>
    </xdr:to>
    <xdr:grpSp>
      <xdr:nvGrpSpPr>
        <xdr:cNvPr id="16" name="Group 15">
          <a:extLst>
            <a:ext uri="{FF2B5EF4-FFF2-40B4-BE49-F238E27FC236}">
              <a16:creationId xmlns:a16="http://schemas.microsoft.com/office/drawing/2014/main" id="{87A6DDBD-0C27-4425-927A-2EDF16844274}"/>
            </a:ext>
          </a:extLst>
        </xdr:cNvPr>
        <xdr:cNvGrpSpPr/>
      </xdr:nvGrpSpPr>
      <xdr:grpSpPr>
        <a:xfrm>
          <a:off x="8108620" y="3628571"/>
          <a:ext cx="4585212" cy="2766784"/>
          <a:chOff x="8108620" y="3628571"/>
          <a:chExt cx="4585212" cy="2766784"/>
        </a:xfrm>
      </xdr:grpSpPr>
      <xdr:graphicFrame macro="">
        <xdr:nvGraphicFramePr>
          <xdr:cNvPr id="8" name="Chart 1">
            <a:extLst>
              <a:ext uri="{FF2B5EF4-FFF2-40B4-BE49-F238E27FC236}">
                <a16:creationId xmlns:a16="http://schemas.microsoft.com/office/drawing/2014/main" id="{EFD9ABCC-0341-4980-8CF4-DA3908D8D75B}"/>
              </a:ext>
            </a:extLst>
          </xdr:cNvPr>
          <xdr:cNvGraphicFramePr/>
        </xdr:nvGraphicFramePr>
        <xdr:xfrm>
          <a:off x="8121832" y="3630205"/>
          <a:ext cx="4572000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  <xdr:sp macro="" textlink="'1.FinancialPosition'!B1">
        <xdr:nvSpPr>
          <xdr:cNvPr id="15" name="Rectangle 14">
            <a:extLst>
              <a:ext uri="{FF2B5EF4-FFF2-40B4-BE49-F238E27FC236}">
                <a16:creationId xmlns:a16="http://schemas.microsoft.com/office/drawing/2014/main" id="{CC0D7F6C-0167-46AD-92A4-A285B1591CDF}"/>
              </a:ext>
            </a:extLst>
          </xdr:cNvPr>
          <xdr:cNvSpPr/>
        </xdr:nvSpPr>
        <xdr:spPr>
          <a:xfrm rot="16200000">
            <a:off x="6893669" y="4843522"/>
            <a:ext cx="2766784" cy="336881"/>
          </a:xfrm>
          <a:prstGeom prst="rect">
            <a:avLst/>
          </a:prstGeom>
          <a:solidFill>
            <a:schemeClr val="accent4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fld id="{EAE487CF-2ACE-48D1-9EC1-715482600ACC}" type="TxLink">
              <a:rPr lang="en-US" sz="1050" b="1" i="0" u="none" strike="noStrike">
                <a:solidFill>
                  <a:sysClr val="windowText" lastClr="000000"/>
                </a:solidFill>
                <a:latin typeface="Candara"/>
              </a:rPr>
              <a:pPr algn="ctr"/>
              <a:t>30 September</a:t>
            </a:fld>
            <a:endParaRPr lang="en-GB" sz="1050">
              <a:solidFill>
                <a:sysClr val="windowText" lastClr="000000"/>
              </a:solidFill>
            </a:endParaRPr>
          </a:p>
        </xdr:txBody>
      </xdr:sp>
    </xdr:grp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0.00649</cdr:x>
      <cdr:y>0.02009</cdr:y>
    </cdr:from>
    <cdr:to>
      <cdr:x>0.05844</cdr:x>
      <cdr:y>0.83961</cdr:y>
    </cdr:to>
    <cdr:sp macro="" textlink="'1.FinancialPosition'!$B$1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7ABAB2E4-A314-4A15-982A-0A8660C4C359}"/>
            </a:ext>
          </a:extLst>
        </cdr:cNvPr>
        <cdr:cNvSpPr/>
      </cdr:nvSpPr>
      <cdr:spPr>
        <a:xfrm xmlns:a="http://schemas.openxmlformats.org/drawingml/2006/main" rot="16200000">
          <a:off x="-881632" y="962596"/>
          <a:ext cx="2066335" cy="242453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40000"/>
            <a:lumOff val="6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D19E14F2-9F08-4C9A-95CD-B0B888FE6AEF}" type="TxLink">
            <a:rPr lang="en-US" sz="1050" b="1" i="0" u="none" strike="noStrike">
              <a:solidFill>
                <a:sysClr val="windowText" lastClr="000000"/>
              </a:solidFill>
              <a:latin typeface="Candara"/>
            </a:rPr>
            <a:pPr algn="ctr"/>
            <a:t>30 September</a:t>
          </a:fld>
          <a:endParaRPr lang="en-GB" sz="1050">
            <a:solidFill>
              <a:sysClr val="windowText" lastClr="000000"/>
            </a:solidFill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0.34483</cdr:x>
      <cdr:y>0.85533</cdr:y>
    </cdr:from>
    <cdr:to>
      <cdr:x>0.58793</cdr:x>
      <cdr:y>0.9349</cdr:y>
    </cdr:to>
    <cdr:sp macro="" textlink="hiddenPage!$O$23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239357C1-CB08-426B-A395-39008F9F3DD1}"/>
            </a:ext>
          </a:extLst>
        </cdr:cNvPr>
        <cdr:cNvSpPr/>
      </cdr:nvSpPr>
      <cdr:spPr>
        <a:xfrm xmlns:a="http://schemas.openxmlformats.org/drawingml/2006/main">
          <a:off x="1905000" y="2252663"/>
          <a:ext cx="1343025" cy="20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bg2">
            <a:lumMod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fld id="{A30024D5-E9B9-4590-B6E9-99EBCADEAB94}" type="TxLink">
            <a:rPr lang="en-US" sz="1100" b="0" i="0" u="none" strike="noStrike">
              <a:solidFill>
                <a:schemeClr val="bg1"/>
              </a:solidFill>
              <a:latin typeface="Candara"/>
            </a:rPr>
            <a:pPr/>
            <a:t>Total  : 96,701,134 lei</a:t>
          </a:fld>
          <a:endParaRPr lang="en-US" sz="1050">
            <a:solidFill>
              <a:schemeClr val="bg1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romcarbon.com/reports-and-information/" TargetMode="External"/><Relationship Id="rId2" Type="http://schemas.openxmlformats.org/officeDocument/2006/relationships/hyperlink" Target="mailto:investor.relations@romcarbon.com" TargetMode="External"/><Relationship Id="rId1" Type="http://schemas.openxmlformats.org/officeDocument/2006/relationships/hyperlink" Target="http://www.romcarbon.com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</sheetPr>
  <dimension ref="A1:X31"/>
  <sheetViews>
    <sheetView showGridLines="0" tabSelected="1" zoomScale="90" zoomScaleNormal="90" workbookViewId="0">
      <selection activeCell="V26" sqref="V26"/>
    </sheetView>
  </sheetViews>
  <sheetFormatPr defaultColWidth="9.109375" defaultRowHeight="14.4" x14ac:dyDescent="0.3"/>
  <cols>
    <col min="1" max="1" width="6.109375" style="105" customWidth="1"/>
    <col min="2" max="2" width="3.5546875" style="105" customWidth="1"/>
    <col min="3" max="3" width="2.109375" style="105" customWidth="1"/>
    <col min="4" max="4" width="4.33203125" style="105" customWidth="1"/>
    <col min="5" max="5" width="4.5546875" style="105" customWidth="1"/>
    <col min="6" max="6" width="2.44140625" style="105" customWidth="1"/>
    <col min="7" max="7" width="3.6640625" style="105" customWidth="1"/>
    <col min="8" max="10" width="11.33203125" style="105" customWidth="1"/>
    <col min="11" max="18" width="9.109375" style="105"/>
    <col min="19" max="19" width="5.44140625" style="105" customWidth="1"/>
    <col min="20" max="21" width="9.109375" style="105"/>
    <col min="22" max="22" width="8" style="105" customWidth="1"/>
    <col min="23" max="23" width="7.6640625" style="105" customWidth="1"/>
    <col min="24" max="16384" width="9.109375" style="105"/>
  </cols>
  <sheetData>
    <row r="1" spans="1:20" ht="8.25" customHeight="1" x14ac:dyDescent="0.3">
      <c r="A1" s="104"/>
      <c r="B1" s="104"/>
      <c r="C1" s="104"/>
      <c r="D1" s="104"/>
      <c r="E1" s="104"/>
      <c r="F1" s="104"/>
      <c r="H1" s="104"/>
      <c r="I1" s="104"/>
      <c r="J1" s="104"/>
      <c r="K1" s="104"/>
      <c r="L1" s="104"/>
      <c r="M1" s="104"/>
      <c r="N1" s="104"/>
      <c r="O1" s="104"/>
      <c r="P1" s="104"/>
      <c r="Q1" s="104"/>
    </row>
    <row r="2" spans="1:20" x14ac:dyDescent="0.3">
      <c r="B2" s="104"/>
      <c r="C2" s="104"/>
      <c r="D2" s="104"/>
      <c r="E2" s="104"/>
      <c r="F2" s="104"/>
      <c r="H2" s="104"/>
      <c r="I2" s="104"/>
      <c r="J2" s="104"/>
      <c r="K2" s="104"/>
      <c r="L2" s="104"/>
      <c r="M2" s="104"/>
      <c r="N2" s="104"/>
      <c r="O2" s="104"/>
      <c r="P2" s="104"/>
      <c r="Q2" s="104"/>
    </row>
    <row r="3" spans="1:20" x14ac:dyDescent="0.3">
      <c r="A3" s="104"/>
      <c r="B3" s="104"/>
      <c r="C3" s="104"/>
      <c r="D3" s="104"/>
      <c r="E3" s="104"/>
      <c r="F3" s="104"/>
      <c r="H3" s="104"/>
      <c r="I3" s="104"/>
      <c r="J3" s="104"/>
      <c r="K3" s="104"/>
      <c r="L3" s="104"/>
      <c r="M3" s="104"/>
      <c r="N3" s="104"/>
      <c r="O3" s="104"/>
      <c r="P3" s="104"/>
      <c r="Q3" s="104"/>
    </row>
    <row r="4" spans="1:20" x14ac:dyDescent="0.3">
      <c r="A4" s="104"/>
      <c r="B4" s="104"/>
      <c r="C4" s="104"/>
      <c r="D4" s="104"/>
      <c r="E4" s="104"/>
      <c r="F4" s="104"/>
      <c r="H4" s="104"/>
      <c r="I4" s="104"/>
      <c r="J4" s="104"/>
      <c r="K4" s="104"/>
      <c r="L4" s="104"/>
      <c r="M4" s="104"/>
      <c r="N4" s="104"/>
      <c r="O4" s="104"/>
      <c r="P4" s="104"/>
      <c r="Q4" s="104"/>
    </row>
    <row r="5" spans="1:20" ht="9.75" customHeight="1" x14ac:dyDescent="0.3">
      <c r="A5" s="104"/>
      <c r="B5" s="104"/>
      <c r="C5" s="104"/>
      <c r="D5" s="104"/>
      <c r="E5" s="106"/>
      <c r="F5" s="104"/>
      <c r="H5" s="104"/>
      <c r="I5" s="104"/>
      <c r="J5" s="104"/>
      <c r="K5" s="104"/>
      <c r="L5" s="104"/>
      <c r="M5" s="104"/>
      <c r="N5" s="104"/>
      <c r="O5" s="104"/>
      <c r="P5" s="104"/>
      <c r="Q5" s="104"/>
    </row>
    <row r="6" spans="1:20" ht="6" customHeight="1" x14ac:dyDescent="0.3">
      <c r="A6" s="104"/>
      <c r="B6" s="104"/>
      <c r="C6" s="104"/>
      <c r="D6" s="104"/>
      <c r="E6" s="106"/>
      <c r="F6" s="104"/>
      <c r="H6" s="104"/>
      <c r="I6" s="104"/>
      <c r="J6" s="104"/>
      <c r="K6" s="104"/>
      <c r="L6" s="104"/>
      <c r="M6" s="104"/>
      <c r="N6" s="104"/>
      <c r="O6" s="104"/>
      <c r="P6" s="104"/>
      <c r="Q6" s="104"/>
    </row>
    <row r="7" spans="1:20" ht="8.4" customHeight="1" x14ac:dyDescent="0.3">
      <c r="A7" s="107"/>
    </row>
    <row r="8" spans="1:20" ht="21" x14ac:dyDescent="0.4">
      <c r="H8" s="196" t="s">
        <v>264</v>
      </c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</row>
    <row r="9" spans="1:20" ht="12.75" customHeight="1" x14ac:dyDescent="0.45"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</row>
    <row r="10" spans="1:20" ht="17.399999999999999" customHeight="1" x14ac:dyDescent="0.45"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</row>
    <row r="11" spans="1:20" ht="18" x14ac:dyDescent="0.35">
      <c r="K11" s="108"/>
      <c r="L11" s="108"/>
      <c r="M11" s="108"/>
      <c r="N11" s="108"/>
      <c r="O11" s="108"/>
      <c r="P11" s="109"/>
      <c r="Q11" s="108"/>
      <c r="R11" s="108"/>
      <c r="S11" s="109"/>
      <c r="T11" s="110"/>
    </row>
    <row r="12" spans="1:20" ht="18" x14ac:dyDescent="0.35">
      <c r="K12" s="108"/>
      <c r="L12" s="108"/>
      <c r="M12" s="108"/>
      <c r="N12" s="108"/>
      <c r="O12" s="108"/>
      <c r="P12" s="108"/>
      <c r="S12" s="111"/>
      <c r="T12" s="111"/>
    </row>
    <row r="13" spans="1:20" ht="18" x14ac:dyDescent="0.35">
      <c r="K13" s="108"/>
      <c r="L13" s="108"/>
      <c r="M13" s="108"/>
      <c r="N13" s="108"/>
      <c r="O13" s="108"/>
      <c r="P13" s="108"/>
      <c r="S13" s="111"/>
      <c r="T13" s="111"/>
    </row>
    <row r="14" spans="1:20" ht="18" x14ac:dyDescent="0.35">
      <c r="K14" s="108"/>
      <c r="L14" s="108"/>
      <c r="M14" s="108"/>
      <c r="N14" s="108"/>
      <c r="O14" s="108"/>
      <c r="P14" s="108"/>
      <c r="S14" s="108"/>
      <c r="T14" s="110"/>
    </row>
    <row r="15" spans="1:20" ht="15" customHeight="1" x14ac:dyDescent="0.35">
      <c r="K15" s="108"/>
      <c r="L15" s="108"/>
      <c r="M15" s="108"/>
      <c r="N15" s="108"/>
      <c r="O15" s="108"/>
      <c r="P15" s="108"/>
      <c r="S15" s="108"/>
      <c r="T15" s="110"/>
    </row>
    <row r="16" spans="1:20" ht="15" customHeight="1" x14ac:dyDescent="0.35">
      <c r="K16" s="108"/>
      <c r="L16" s="108"/>
      <c r="M16" s="108"/>
      <c r="N16" s="108"/>
      <c r="O16" s="108"/>
      <c r="P16" s="108"/>
      <c r="S16" s="108"/>
      <c r="T16" s="110"/>
    </row>
    <row r="17" spans="8:24" ht="15" customHeight="1" x14ac:dyDescent="0.35">
      <c r="K17" s="108"/>
      <c r="L17" s="108"/>
      <c r="M17" s="108"/>
      <c r="N17" s="108"/>
      <c r="O17" s="108"/>
      <c r="P17" s="108"/>
      <c r="S17" s="108"/>
      <c r="T17" s="110"/>
    </row>
    <row r="18" spans="8:24" ht="15" customHeight="1" x14ac:dyDescent="0.35">
      <c r="K18" s="108"/>
      <c r="L18" s="108"/>
      <c r="M18" s="108"/>
      <c r="N18" s="108"/>
      <c r="O18" s="108"/>
      <c r="P18" s="108"/>
      <c r="S18" s="108"/>
      <c r="T18" s="110"/>
    </row>
    <row r="19" spans="8:24" ht="15" customHeight="1" x14ac:dyDescent="0.35">
      <c r="K19" s="108"/>
      <c r="L19" s="108"/>
      <c r="M19" s="108"/>
      <c r="N19" s="108"/>
      <c r="O19" s="108"/>
      <c r="P19" s="108"/>
      <c r="Q19" s="108"/>
      <c r="R19" s="108"/>
      <c r="S19" s="109"/>
      <c r="T19" s="110"/>
    </row>
    <row r="20" spans="8:24" ht="15" customHeight="1" x14ac:dyDescent="0.35">
      <c r="K20" s="108"/>
      <c r="L20" s="108"/>
      <c r="M20" s="108"/>
      <c r="N20" s="108"/>
      <c r="O20" s="108"/>
      <c r="P20" s="108"/>
      <c r="Q20" s="108"/>
      <c r="R20" s="108"/>
      <c r="S20" s="109"/>
      <c r="T20" s="110"/>
      <c r="X20" s="174"/>
    </row>
    <row r="21" spans="8:24" ht="15" customHeight="1" x14ac:dyDescent="0.35">
      <c r="K21" s="108"/>
      <c r="L21" s="108"/>
      <c r="M21" s="108"/>
      <c r="N21" s="108"/>
      <c r="O21" s="108"/>
      <c r="P21" s="108"/>
      <c r="Q21" s="108"/>
      <c r="R21" s="108"/>
      <c r="S21" s="109"/>
      <c r="T21" s="110"/>
    </row>
    <row r="22" spans="8:24" ht="15" customHeight="1" x14ac:dyDescent="0.3">
      <c r="H22" s="201" t="s">
        <v>105</v>
      </c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</row>
    <row r="23" spans="8:24" ht="15" customHeight="1" x14ac:dyDescent="0.3">
      <c r="H23" s="199" t="s">
        <v>160</v>
      </c>
      <c r="I23" s="199"/>
      <c r="J23" s="199"/>
      <c r="K23" s="200"/>
      <c r="L23" s="200"/>
      <c r="M23" s="200"/>
      <c r="N23" s="200"/>
      <c r="O23" s="200"/>
      <c r="P23" s="200"/>
      <c r="Q23" s="200"/>
      <c r="R23" s="200"/>
      <c r="S23" s="200"/>
      <c r="T23" s="200"/>
    </row>
    <row r="24" spans="8:24" ht="15" customHeight="1" x14ac:dyDescent="0.3">
      <c r="H24" s="202" t="s">
        <v>117</v>
      </c>
      <c r="I24" s="202"/>
      <c r="J24" s="202"/>
      <c r="K24" s="202"/>
      <c r="L24" s="202"/>
      <c r="M24" s="202"/>
      <c r="N24" s="202"/>
      <c r="O24" s="202"/>
      <c r="P24" s="202"/>
      <c r="Q24" s="202"/>
      <c r="R24" s="112"/>
      <c r="S24" s="112"/>
      <c r="T24" s="112"/>
    </row>
    <row r="25" spans="8:24" ht="9" customHeight="1" x14ac:dyDescent="0.3"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</row>
    <row r="26" spans="8:24" x14ac:dyDescent="0.3">
      <c r="H26" s="198"/>
      <c r="I26" s="198"/>
      <c r="J26" s="198"/>
      <c r="K26" s="198"/>
      <c r="L26" s="198"/>
      <c r="M26" s="198"/>
      <c r="N26" s="198"/>
      <c r="O26" s="114"/>
      <c r="P26" s="115"/>
      <c r="Q26" s="195" t="s">
        <v>112</v>
      </c>
      <c r="R26" s="195"/>
      <c r="S26" s="195"/>
      <c r="T26" s="195"/>
    </row>
    <row r="27" spans="8:24" x14ac:dyDescent="0.3">
      <c r="H27" s="198"/>
      <c r="I27" s="198"/>
      <c r="J27" s="198"/>
      <c r="K27" s="198"/>
      <c r="L27" s="198"/>
      <c r="M27" s="198"/>
      <c r="N27" s="198"/>
      <c r="O27" s="116"/>
      <c r="P27" s="117"/>
      <c r="Q27" s="195" t="s">
        <v>116</v>
      </c>
      <c r="R27" s="195"/>
      <c r="S27" s="195"/>
      <c r="T27" s="195"/>
    </row>
    <row r="28" spans="8:24" x14ac:dyDescent="0.3">
      <c r="H28" s="118"/>
      <c r="I28" s="118"/>
      <c r="J28" s="118"/>
      <c r="K28" s="118"/>
      <c r="L28" s="118"/>
      <c r="M28" s="118"/>
      <c r="N28" s="118"/>
      <c r="O28" s="119"/>
      <c r="P28" s="120"/>
      <c r="Q28" s="121" t="s">
        <v>113</v>
      </c>
      <c r="R28" s="121"/>
      <c r="S28" s="121"/>
      <c r="T28" s="121"/>
    </row>
    <row r="29" spans="8:24" x14ac:dyDescent="0.3">
      <c r="H29" s="118"/>
      <c r="I29" s="118"/>
      <c r="J29" s="118"/>
      <c r="K29" s="118"/>
      <c r="L29" s="118"/>
      <c r="M29" s="118"/>
      <c r="N29" s="118"/>
      <c r="O29" s="119"/>
      <c r="P29" s="120"/>
      <c r="Q29" s="195" t="s">
        <v>114</v>
      </c>
      <c r="R29" s="195"/>
      <c r="S29" s="195"/>
      <c r="T29" s="195"/>
    </row>
    <row r="30" spans="8:24" x14ac:dyDescent="0.3">
      <c r="H30" s="118"/>
      <c r="I30" s="118"/>
      <c r="J30" s="118"/>
      <c r="K30" s="118"/>
      <c r="L30" s="118"/>
      <c r="M30" s="118"/>
      <c r="N30" s="118"/>
      <c r="O30" s="119"/>
      <c r="P30" s="120"/>
      <c r="Q30" s="193" t="s">
        <v>144</v>
      </c>
      <c r="R30" s="193"/>
      <c r="S30" s="193"/>
      <c r="T30" s="193"/>
    </row>
    <row r="31" spans="8:24" x14ac:dyDescent="0.3">
      <c r="H31" s="118"/>
      <c r="I31" s="118"/>
      <c r="J31" s="118"/>
      <c r="K31" s="118"/>
      <c r="L31" s="118"/>
      <c r="M31" s="118"/>
      <c r="N31" s="118"/>
      <c r="O31" s="119"/>
      <c r="P31" s="120"/>
      <c r="Q31" s="194" t="s">
        <v>115</v>
      </c>
      <c r="R31" s="194"/>
      <c r="S31" s="194"/>
      <c r="T31" s="194"/>
    </row>
  </sheetData>
  <mergeCells count="13">
    <mergeCell ref="Q30:T30"/>
    <mergeCell ref="Q31:T31"/>
    <mergeCell ref="Q29:T29"/>
    <mergeCell ref="H8:T8"/>
    <mergeCell ref="H10:T10"/>
    <mergeCell ref="Q27:T27"/>
    <mergeCell ref="H26:N26"/>
    <mergeCell ref="H27:N27"/>
    <mergeCell ref="H23:T23"/>
    <mergeCell ref="H22:T22"/>
    <mergeCell ref="Q26:T26"/>
    <mergeCell ref="H24:Q24"/>
    <mergeCell ref="H9:T9"/>
  </mergeCells>
  <hyperlinks>
    <hyperlink ref="Q30" r:id="rId1" xr:uid="{71673C88-5463-4161-83CF-CD9CF893B618}"/>
    <hyperlink ref="Q31" r:id="rId2" xr:uid="{82F5B292-7BE3-40E1-A66D-AB909AD3CE02}"/>
    <hyperlink ref="Q30:T30" r:id="rId3" display="www.romcarbon.com" xr:uid="{02F9AC0E-C59E-4B94-A68F-62D5310C64A0}"/>
  </hyperlinks>
  <pageMargins left="0.7" right="0.7" top="0.75" bottom="0.75" header="0.3" footer="0.3"/>
  <pageSetup paperSize="9" orientation="portrait" r:id="rId4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B280C-616F-4435-A8AA-F5AC6625BA32}">
  <dimension ref="A3:D105"/>
  <sheetViews>
    <sheetView zoomScale="90" zoomScaleNormal="90" workbookViewId="0">
      <pane xSplit="2" ySplit="3" topLeftCell="C80" activePane="bottomRight" state="frozen"/>
      <selection pane="topRight" activeCell="C1" sqref="C1"/>
      <selection pane="bottomLeft" activeCell="A4" sqref="A4"/>
      <selection pane="bottomRight" activeCell="G98" sqref="G98"/>
    </sheetView>
  </sheetViews>
  <sheetFormatPr defaultColWidth="9.109375" defaultRowHeight="15.6" x14ac:dyDescent="0.3"/>
  <cols>
    <col min="1" max="1" width="9.33203125" style="80" bestFit="1" customWidth="1"/>
    <col min="2" max="2" width="47" style="80" customWidth="1"/>
    <col min="3" max="3" width="58.44140625" style="80" bestFit="1" customWidth="1"/>
    <col min="4" max="4" width="15.88671875" style="81" bestFit="1" customWidth="1"/>
    <col min="5" max="16384" width="9.109375" style="80"/>
  </cols>
  <sheetData>
    <row r="3" spans="1:4" x14ac:dyDescent="0.3">
      <c r="A3" s="78" t="s">
        <v>148</v>
      </c>
      <c r="B3" s="78" t="s">
        <v>0</v>
      </c>
      <c r="C3" s="78" t="s">
        <v>0</v>
      </c>
      <c r="D3" s="79" t="s">
        <v>141</v>
      </c>
    </row>
    <row r="4" spans="1:4" x14ac:dyDescent="0.3">
      <c r="A4" s="80">
        <v>2019</v>
      </c>
      <c r="B4" s="80" t="s">
        <v>1</v>
      </c>
      <c r="C4" s="80" t="s">
        <v>2</v>
      </c>
      <c r="D4" s="81">
        <v>157093809.54692432</v>
      </c>
    </row>
    <row r="5" spans="1:4" x14ac:dyDescent="0.3">
      <c r="A5" s="80">
        <v>2019</v>
      </c>
      <c r="B5" s="80" t="s">
        <v>3</v>
      </c>
      <c r="C5" s="80" t="s">
        <v>4</v>
      </c>
      <c r="D5" s="81">
        <v>13432444</v>
      </c>
    </row>
    <row r="6" spans="1:4" x14ac:dyDescent="0.3">
      <c r="A6" s="80">
        <v>2019</v>
      </c>
      <c r="B6" s="80" t="s">
        <v>199</v>
      </c>
      <c r="C6" s="80" t="s">
        <v>200</v>
      </c>
      <c r="D6" s="81">
        <v>143460.56021036324</v>
      </c>
    </row>
    <row r="7" spans="1:4" x14ac:dyDescent="0.3">
      <c r="A7" s="80">
        <v>2019</v>
      </c>
      <c r="B7" s="80" t="s">
        <v>201</v>
      </c>
      <c r="C7" s="80" t="s">
        <v>166</v>
      </c>
      <c r="D7" s="81">
        <v>307580.76636363612</v>
      </c>
    </row>
    <row r="8" spans="1:4" x14ac:dyDescent="0.3">
      <c r="A8" s="80">
        <v>2019</v>
      </c>
      <c r="B8" s="80" t="s">
        <v>202</v>
      </c>
      <c r="C8" s="80" t="s">
        <v>203</v>
      </c>
      <c r="D8" s="81">
        <v>27033841.327179756</v>
      </c>
    </row>
    <row r="9" spans="1:4" x14ac:dyDescent="0.3">
      <c r="A9" s="80">
        <v>2019</v>
      </c>
      <c r="B9" s="80" t="s">
        <v>204</v>
      </c>
      <c r="C9" s="80" t="s">
        <v>167</v>
      </c>
      <c r="D9" s="81">
        <v>197373.45</v>
      </c>
    </row>
    <row r="10" spans="1:4" x14ac:dyDescent="0.3">
      <c r="A10" s="80">
        <v>2019</v>
      </c>
      <c r="B10" s="80" t="s">
        <v>205</v>
      </c>
      <c r="C10" s="80" t="s">
        <v>206</v>
      </c>
      <c r="D10" s="81">
        <v>195396.25</v>
      </c>
    </row>
    <row r="11" spans="1:4" x14ac:dyDescent="0.3">
      <c r="A11" s="80">
        <v>2019</v>
      </c>
      <c r="B11" s="80" t="s">
        <v>207</v>
      </c>
      <c r="C11" s="80" t="s">
        <v>8</v>
      </c>
      <c r="D11" s="81">
        <v>198403905.9006781</v>
      </c>
    </row>
    <row r="12" spans="1:4" x14ac:dyDescent="0.3">
      <c r="A12" s="80">
        <v>2019</v>
      </c>
      <c r="B12" s="80" t="s">
        <v>208</v>
      </c>
      <c r="C12" s="80" t="s">
        <v>170</v>
      </c>
      <c r="D12" s="81">
        <v>45992535.542492926</v>
      </c>
    </row>
    <row r="13" spans="1:4" x14ac:dyDescent="0.3">
      <c r="A13" s="80">
        <v>2019</v>
      </c>
      <c r="B13" s="80" t="s">
        <v>11</v>
      </c>
      <c r="C13" s="80" t="s">
        <v>171</v>
      </c>
      <c r="D13" s="81">
        <v>34018157.882699974</v>
      </c>
    </row>
    <row r="14" spans="1:4" x14ac:dyDescent="0.3">
      <c r="A14" s="80">
        <v>2019</v>
      </c>
      <c r="B14" s="80" t="s">
        <v>209</v>
      </c>
      <c r="C14" s="80" t="s">
        <v>172</v>
      </c>
      <c r="D14" s="81">
        <v>2389649.9115479453</v>
      </c>
    </row>
    <row r="15" spans="1:4" x14ac:dyDescent="0.3">
      <c r="A15" s="80">
        <v>2019</v>
      </c>
      <c r="B15" s="80" t="s">
        <v>210</v>
      </c>
      <c r="C15" s="80" t="s">
        <v>173</v>
      </c>
      <c r="D15" s="81">
        <v>1496725.5565500001</v>
      </c>
    </row>
    <row r="16" spans="1:4" x14ac:dyDescent="0.3">
      <c r="A16" s="80">
        <v>2019</v>
      </c>
      <c r="B16" s="80" t="s">
        <v>211</v>
      </c>
      <c r="C16" s="80" t="s">
        <v>174</v>
      </c>
      <c r="D16" s="81">
        <v>9849170.4968970008</v>
      </c>
    </row>
    <row r="17" spans="1:4" x14ac:dyDescent="0.3">
      <c r="A17" s="80">
        <v>2019</v>
      </c>
      <c r="B17" s="80" t="s">
        <v>168</v>
      </c>
      <c r="C17" s="80" t="s">
        <v>169</v>
      </c>
      <c r="D17" s="81">
        <v>6873002.5300000003</v>
      </c>
    </row>
    <row r="18" spans="1:4" x14ac:dyDescent="0.3">
      <c r="A18" s="80">
        <v>2019</v>
      </c>
      <c r="B18" s="80" t="s">
        <v>212</v>
      </c>
      <c r="C18" s="80" t="s">
        <v>16</v>
      </c>
      <c r="D18" s="81">
        <v>100619241.92018783</v>
      </c>
    </row>
    <row r="19" spans="1:4" x14ac:dyDescent="0.3">
      <c r="A19" s="80">
        <v>2019</v>
      </c>
      <c r="B19" s="80" t="s">
        <v>213</v>
      </c>
      <c r="C19" s="80" t="s">
        <v>214</v>
      </c>
      <c r="D19" s="81">
        <v>299023147.82086593</v>
      </c>
    </row>
    <row r="20" spans="1:4" x14ac:dyDescent="0.3">
      <c r="A20" s="80">
        <v>2019</v>
      </c>
      <c r="B20" s="80" t="s">
        <v>19</v>
      </c>
      <c r="C20" s="80" t="s">
        <v>20</v>
      </c>
      <c r="D20" s="81">
        <v>26412209.943440005</v>
      </c>
    </row>
    <row r="21" spans="1:4" x14ac:dyDescent="0.3">
      <c r="A21" s="80">
        <v>2019</v>
      </c>
      <c r="B21" s="80" t="s">
        <v>215</v>
      </c>
      <c r="C21" s="80" t="s">
        <v>22</v>
      </c>
      <c r="D21" s="81">
        <v>2182283.2899999991</v>
      </c>
    </row>
    <row r="22" spans="1:4" x14ac:dyDescent="0.3">
      <c r="A22" s="80">
        <v>2019</v>
      </c>
      <c r="B22" s="80" t="s">
        <v>23</v>
      </c>
      <c r="C22" s="80" t="s">
        <v>175</v>
      </c>
      <c r="D22" s="81">
        <v>60489520.997961394</v>
      </c>
    </row>
    <row r="23" spans="1:4" x14ac:dyDescent="0.3">
      <c r="A23" s="80">
        <v>2019</v>
      </c>
      <c r="B23" s="80" t="s">
        <v>24</v>
      </c>
      <c r="C23" s="80" t="s">
        <v>25</v>
      </c>
      <c r="D23" s="81">
        <v>49570020.627917819</v>
      </c>
    </row>
    <row r="24" spans="1:4" x14ac:dyDescent="0.3">
      <c r="A24" s="80">
        <v>2019</v>
      </c>
      <c r="B24" s="80" t="s">
        <v>216</v>
      </c>
      <c r="C24" s="80" t="s">
        <v>217</v>
      </c>
      <c r="D24" s="81">
        <v>138654034.85931921</v>
      </c>
    </row>
    <row r="25" spans="1:4" x14ac:dyDescent="0.3">
      <c r="A25" s="80">
        <v>2019</v>
      </c>
      <c r="B25" s="80" t="s">
        <v>218</v>
      </c>
      <c r="C25" s="80" t="s">
        <v>219</v>
      </c>
      <c r="D25" s="81">
        <v>907104.5727180551</v>
      </c>
    </row>
    <row r="26" spans="1:4" x14ac:dyDescent="0.3">
      <c r="A26" s="80">
        <v>2019</v>
      </c>
      <c r="B26" s="80" t="s">
        <v>220</v>
      </c>
      <c r="C26" s="80" t="s">
        <v>221</v>
      </c>
      <c r="D26" s="81">
        <v>139561139.43203726</v>
      </c>
    </row>
    <row r="27" spans="1:4" x14ac:dyDescent="0.3">
      <c r="A27" s="80">
        <v>2019</v>
      </c>
      <c r="B27" s="80" t="s">
        <v>222</v>
      </c>
      <c r="C27" s="80" t="s">
        <v>223</v>
      </c>
      <c r="D27" s="81">
        <v>248808.238247</v>
      </c>
    </row>
    <row r="28" spans="1:4" x14ac:dyDescent="0.3">
      <c r="A28" s="80">
        <v>2019</v>
      </c>
      <c r="B28" s="80" t="s">
        <v>224</v>
      </c>
      <c r="C28" s="80" t="s">
        <v>31</v>
      </c>
      <c r="D28" s="81">
        <v>8364029</v>
      </c>
    </row>
    <row r="29" spans="1:4" x14ac:dyDescent="0.3">
      <c r="A29" s="80">
        <v>2019</v>
      </c>
      <c r="B29" s="80" t="s">
        <v>181</v>
      </c>
      <c r="C29" s="80" t="s">
        <v>182</v>
      </c>
      <c r="D29" s="81">
        <v>23513246.189999998</v>
      </c>
    </row>
    <row r="30" spans="1:4" x14ac:dyDescent="0.3">
      <c r="A30" s="80">
        <v>2019</v>
      </c>
      <c r="B30" s="80" t="s">
        <v>225</v>
      </c>
      <c r="C30" s="80" t="s">
        <v>183</v>
      </c>
      <c r="D30" s="81">
        <v>23506687.48</v>
      </c>
    </row>
    <row r="31" spans="1:4" x14ac:dyDescent="0.3">
      <c r="A31" s="80">
        <v>2019</v>
      </c>
      <c r="B31" s="80" t="s">
        <v>226</v>
      </c>
      <c r="C31" s="80" t="s">
        <v>35</v>
      </c>
      <c r="D31" s="81">
        <v>55632770.908246994</v>
      </c>
    </row>
    <row r="32" spans="1:4" x14ac:dyDescent="0.3">
      <c r="A32" s="80">
        <v>2019</v>
      </c>
      <c r="B32" s="80" t="s">
        <v>176</v>
      </c>
      <c r="C32" s="80" t="s">
        <v>227</v>
      </c>
      <c r="D32" s="81">
        <v>35232435.053994887</v>
      </c>
    </row>
    <row r="33" spans="1:4" x14ac:dyDescent="0.3">
      <c r="A33" s="80">
        <v>2019</v>
      </c>
      <c r="B33" s="80" t="s">
        <v>177</v>
      </c>
      <c r="C33" s="80" t="s">
        <v>178</v>
      </c>
      <c r="D33" s="81">
        <v>60426062.469999999</v>
      </c>
    </row>
    <row r="34" spans="1:4" x14ac:dyDescent="0.3">
      <c r="A34" s="80">
        <v>2019</v>
      </c>
      <c r="B34" s="80" t="s">
        <v>179</v>
      </c>
      <c r="C34" s="80" t="s">
        <v>180</v>
      </c>
      <c r="D34" s="81">
        <v>8170739.7774229459</v>
      </c>
    </row>
    <row r="35" spans="1:4" x14ac:dyDescent="0.3">
      <c r="A35" s="80">
        <v>2019</v>
      </c>
      <c r="B35" s="80" t="s">
        <v>228</v>
      </c>
      <c r="C35" s="80" t="s">
        <v>39</v>
      </c>
      <c r="D35" s="81">
        <v>103829237.30141784</v>
      </c>
    </row>
    <row r="36" spans="1:4" x14ac:dyDescent="0.3">
      <c r="A36" s="80">
        <v>2019</v>
      </c>
      <c r="B36" s="80" t="s">
        <v>229</v>
      </c>
      <c r="C36" s="80" t="s">
        <v>41</v>
      </c>
      <c r="D36" s="81">
        <v>159462008.20966482</v>
      </c>
    </row>
    <row r="37" spans="1:4" x14ac:dyDescent="0.3">
      <c r="A37" s="80">
        <v>2019</v>
      </c>
      <c r="B37" s="80" t="s">
        <v>230</v>
      </c>
      <c r="C37" s="80" t="s">
        <v>231</v>
      </c>
      <c r="D37" s="81">
        <v>299023147.64170206</v>
      </c>
    </row>
    <row r="38" spans="1:4" x14ac:dyDescent="0.3">
      <c r="A38" s="80">
        <v>2020</v>
      </c>
      <c r="B38" s="80" t="s">
        <v>1</v>
      </c>
      <c r="C38" s="80" t="s">
        <v>2</v>
      </c>
      <c r="D38" s="81">
        <v>144756737.42610183</v>
      </c>
    </row>
    <row r="39" spans="1:4" x14ac:dyDescent="0.3">
      <c r="A39" s="80">
        <v>2020</v>
      </c>
      <c r="B39" s="80" t="s">
        <v>3</v>
      </c>
      <c r="C39" s="80" t="s">
        <v>4</v>
      </c>
      <c r="D39" s="81">
        <v>11885345.9</v>
      </c>
    </row>
    <row r="40" spans="1:4" x14ac:dyDescent="0.3">
      <c r="A40" s="80">
        <v>2020</v>
      </c>
      <c r="B40" s="80" t="s">
        <v>199</v>
      </c>
      <c r="C40" s="80" t="s">
        <v>200</v>
      </c>
      <c r="D40" s="81">
        <v>143460.56021036324</v>
      </c>
    </row>
    <row r="41" spans="1:4" x14ac:dyDescent="0.3">
      <c r="A41" s="80">
        <v>2020</v>
      </c>
      <c r="B41" s="80" t="s">
        <v>201</v>
      </c>
      <c r="C41" s="80" t="s">
        <v>166</v>
      </c>
      <c r="D41" s="81">
        <v>323175.72909090878</v>
      </c>
    </row>
    <row r="42" spans="1:4" x14ac:dyDescent="0.3">
      <c r="A42" s="80">
        <v>2020</v>
      </c>
      <c r="B42" s="80" t="s">
        <v>202</v>
      </c>
      <c r="C42" s="80" t="s">
        <v>203</v>
      </c>
      <c r="D42" s="81">
        <v>24469502.752227362</v>
      </c>
    </row>
    <row r="43" spans="1:4" x14ac:dyDescent="0.3">
      <c r="A43" s="80">
        <v>2020</v>
      </c>
      <c r="B43" s="80" t="s">
        <v>204</v>
      </c>
      <c r="C43" s="80" t="s">
        <v>167</v>
      </c>
      <c r="D43" s="81">
        <v>196963.95</v>
      </c>
    </row>
    <row r="44" spans="1:4" x14ac:dyDescent="0.3">
      <c r="A44" s="80">
        <v>2020</v>
      </c>
      <c r="B44" s="80" t="s">
        <v>205</v>
      </c>
      <c r="C44" s="80" t="s">
        <v>206</v>
      </c>
      <c r="D44" s="81">
        <v>100000</v>
      </c>
    </row>
    <row r="45" spans="1:4" x14ac:dyDescent="0.3">
      <c r="A45" s="80">
        <v>2020</v>
      </c>
      <c r="B45" s="80" t="s">
        <v>207</v>
      </c>
      <c r="C45" s="80" t="s">
        <v>8</v>
      </c>
      <c r="D45" s="81">
        <v>181875186.31763047</v>
      </c>
    </row>
    <row r="46" spans="1:4" x14ac:dyDescent="0.3">
      <c r="A46" s="80">
        <v>2020</v>
      </c>
      <c r="B46" s="80" t="s">
        <v>208</v>
      </c>
      <c r="C46" s="80" t="s">
        <v>170</v>
      </c>
      <c r="D46" s="81">
        <v>39267786.496564828</v>
      </c>
    </row>
    <row r="47" spans="1:4" x14ac:dyDescent="0.3">
      <c r="A47" s="80">
        <v>2020</v>
      </c>
      <c r="B47" s="80" t="s">
        <v>11</v>
      </c>
      <c r="C47" s="80" t="s">
        <v>171</v>
      </c>
      <c r="D47" s="81">
        <v>36158571.175505936</v>
      </c>
    </row>
    <row r="48" spans="1:4" x14ac:dyDescent="0.3">
      <c r="A48" s="80">
        <v>2020</v>
      </c>
      <c r="B48" s="80" t="s">
        <v>209</v>
      </c>
      <c r="C48" s="80" t="s">
        <v>172</v>
      </c>
      <c r="D48" s="81">
        <v>181047.34791506856</v>
      </c>
    </row>
    <row r="49" spans="1:4" x14ac:dyDescent="0.3">
      <c r="A49" s="80">
        <v>2020</v>
      </c>
      <c r="B49" s="80" t="s">
        <v>210</v>
      </c>
      <c r="C49" s="80" t="s">
        <v>173</v>
      </c>
      <c r="D49" s="81">
        <v>1236390.7065499998</v>
      </c>
    </row>
    <row r="50" spans="1:4" x14ac:dyDescent="0.3">
      <c r="A50" s="80">
        <v>2020</v>
      </c>
      <c r="B50" s="80" t="s">
        <v>211</v>
      </c>
      <c r="C50" s="80" t="s">
        <v>174</v>
      </c>
      <c r="D50" s="81">
        <v>20704631.823772997</v>
      </c>
    </row>
    <row r="51" spans="1:4" x14ac:dyDescent="0.3">
      <c r="A51" s="80">
        <v>2020</v>
      </c>
      <c r="B51" s="80" t="s">
        <v>168</v>
      </c>
      <c r="C51" s="80" t="s">
        <v>169</v>
      </c>
      <c r="D51" s="81">
        <v>70844.84</v>
      </c>
    </row>
    <row r="52" spans="1:4" x14ac:dyDescent="0.3">
      <c r="A52" s="80">
        <v>2020</v>
      </c>
      <c r="B52" s="80" t="s">
        <v>212</v>
      </c>
      <c r="C52" s="80" t="s">
        <v>16</v>
      </c>
      <c r="D52" s="81">
        <v>97619272.390308842</v>
      </c>
    </row>
    <row r="53" spans="1:4" x14ac:dyDescent="0.3">
      <c r="A53" s="80">
        <v>2020</v>
      </c>
      <c r="B53" s="80" t="s">
        <v>213</v>
      </c>
      <c r="C53" s="80" t="s">
        <v>214</v>
      </c>
      <c r="D53" s="81">
        <v>279494458.70793933</v>
      </c>
    </row>
    <row r="54" spans="1:4" x14ac:dyDescent="0.3">
      <c r="A54" s="80">
        <v>2020</v>
      </c>
      <c r="B54" s="80" t="s">
        <v>19</v>
      </c>
      <c r="C54" s="80" t="s">
        <v>20</v>
      </c>
      <c r="D54" s="81">
        <v>26412209.943440005</v>
      </c>
    </row>
    <row r="55" spans="1:4" x14ac:dyDescent="0.3">
      <c r="A55" s="80">
        <v>2020</v>
      </c>
      <c r="B55" s="80" t="s">
        <v>215</v>
      </c>
      <c r="C55" s="80" t="s">
        <v>22</v>
      </c>
      <c r="D55" s="81">
        <v>2182283.2899999991</v>
      </c>
    </row>
    <row r="56" spans="1:4" x14ac:dyDescent="0.3">
      <c r="A56" s="80">
        <v>2020</v>
      </c>
      <c r="B56" s="80" t="s">
        <v>23</v>
      </c>
      <c r="C56" s="80" t="s">
        <v>175</v>
      </c>
      <c r="D56" s="81">
        <v>60969077.209163398</v>
      </c>
    </row>
    <row r="57" spans="1:4" x14ac:dyDescent="0.3">
      <c r="A57" s="80">
        <v>2020</v>
      </c>
      <c r="B57" s="80" t="s">
        <v>24</v>
      </c>
      <c r="C57" s="80" t="s">
        <v>25</v>
      </c>
      <c r="D57" s="81">
        <v>49238098.287676029</v>
      </c>
    </row>
    <row r="58" spans="1:4" x14ac:dyDescent="0.3">
      <c r="A58" s="80">
        <v>2020</v>
      </c>
      <c r="B58" s="80" t="s">
        <v>216</v>
      </c>
      <c r="C58" s="80" t="s">
        <v>217</v>
      </c>
      <c r="D58" s="81">
        <v>138801668.73027945</v>
      </c>
    </row>
    <row r="59" spans="1:4" x14ac:dyDescent="0.3">
      <c r="A59" s="80">
        <v>2020</v>
      </c>
      <c r="B59" s="80" t="s">
        <v>218</v>
      </c>
      <c r="C59" s="80" t="s">
        <v>219</v>
      </c>
      <c r="D59" s="81">
        <v>909941.30470211047</v>
      </c>
    </row>
    <row r="60" spans="1:4" x14ac:dyDescent="0.3">
      <c r="A60" s="80">
        <v>2020</v>
      </c>
      <c r="B60" s="80" t="s">
        <v>220</v>
      </c>
      <c r="C60" s="80" t="s">
        <v>221</v>
      </c>
      <c r="D60" s="81">
        <v>139711610.03498155</v>
      </c>
    </row>
    <row r="61" spans="1:4" x14ac:dyDescent="0.3">
      <c r="A61" s="80">
        <v>2020</v>
      </c>
      <c r="B61" s="80" t="s">
        <v>222</v>
      </c>
      <c r="C61" s="80" t="s">
        <v>223</v>
      </c>
      <c r="D61" s="81">
        <v>446038</v>
      </c>
    </row>
    <row r="62" spans="1:4" x14ac:dyDescent="0.3">
      <c r="A62" s="80">
        <v>2020</v>
      </c>
      <c r="B62" s="80" t="s">
        <v>224</v>
      </c>
      <c r="C62" s="80" t="s">
        <v>31</v>
      </c>
      <c r="D62" s="81">
        <v>7852871</v>
      </c>
    </row>
    <row r="63" spans="1:4" x14ac:dyDescent="0.3">
      <c r="A63" s="80">
        <v>2020</v>
      </c>
      <c r="B63" s="80" t="s">
        <v>181</v>
      </c>
      <c r="C63" s="80" t="s">
        <v>182</v>
      </c>
      <c r="D63" s="81">
        <v>17856699.280000001</v>
      </c>
    </row>
    <row r="64" spans="1:4" x14ac:dyDescent="0.3">
      <c r="A64" s="80">
        <v>2020</v>
      </c>
      <c r="B64" s="80" t="s">
        <v>225</v>
      </c>
      <c r="C64" s="80" t="s">
        <v>183</v>
      </c>
      <c r="D64" s="81">
        <v>19761266.899999999</v>
      </c>
    </row>
    <row r="65" spans="1:4" x14ac:dyDescent="0.3">
      <c r="A65" s="80">
        <v>2020</v>
      </c>
      <c r="B65" s="80" t="s">
        <v>226</v>
      </c>
      <c r="C65" s="80" t="s">
        <v>35</v>
      </c>
      <c r="D65" s="81">
        <v>45916875.18</v>
      </c>
    </row>
    <row r="66" spans="1:4" x14ac:dyDescent="0.3">
      <c r="A66" s="80">
        <v>2020</v>
      </c>
      <c r="B66" s="80" t="s">
        <v>176</v>
      </c>
      <c r="C66" s="80" t="s">
        <v>227</v>
      </c>
      <c r="D66" s="81">
        <v>33374993.925974838</v>
      </c>
    </row>
    <row r="67" spans="1:4" x14ac:dyDescent="0.3">
      <c r="A67" s="80">
        <v>2020</v>
      </c>
      <c r="B67" s="80" t="s">
        <v>177</v>
      </c>
      <c r="C67" s="80" t="s">
        <v>178</v>
      </c>
      <c r="D67" s="81">
        <v>52867564.909999996</v>
      </c>
    </row>
    <row r="68" spans="1:4" x14ac:dyDescent="0.3">
      <c r="A68" s="80">
        <v>2020</v>
      </c>
      <c r="B68" s="80" t="s">
        <v>179</v>
      </c>
      <c r="C68" s="80" t="s">
        <v>180</v>
      </c>
      <c r="D68" s="81">
        <v>7623415.0058750007</v>
      </c>
    </row>
    <row r="69" spans="1:4" x14ac:dyDescent="0.3">
      <c r="A69" s="80">
        <v>2020</v>
      </c>
      <c r="B69" s="80" t="s">
        <v>228</v>
      </c>
      <c r="C69" s="80" t="s">
        <v>39</v>
      </c>
      <c r="D69" s="81">
        <v>93865973.841849849</v>
      </c>
    </row>
    <row r="70" spans="1:4" x14ac:dyDescent="0.3">
      <c r="A70" s="80">
        <v>2020</v>
      </c>
      <c r="B70" s="80" t="s">
        <v>229</v>
      </c>
      <c r="C70" s="80" t="s">
        <v>41</v>
      </c>
      <c r="D70" s="81">
        <v>139782849.02184984</v>
      </c>
    </row>
    <row r="71" spans="1:4" x14ac:dyDescent="0.3">
      <c r="A71" s="80">
        <v>2020</v>
      </c>
      <c r="B71" s="80" t="s">
        <v>230</v>
      </c>
      <c r="C71" s="80" t="s">
        <v>231</v>
      </c>
      <c r="D71" s="81">
        <v>279494459.05683136</v>
      </c>
    </row>
    <row r="72" spans="1:4" x14ac:dyDescent="0.3">
      <c r="A72" s="80">
        <v>2018</v>
      </c>
      <c r="B72" s="80" t="s">
        <v>1</v>
      </c>
      <c r="C72" s="80" t="s">
        <v>2</v>
      </c>
      <c r="D72" s="81">
        <v>172357212</v>
      </c>
    </row>
    <row r="73" spans="1:4" x14ac:dyDescent="0.3">
      <c r="A73" s="80">
        <v>2018</v>
      </c>
      <c r="B73" s="80" t="s">
        <v>3</v>
      </c>
      <c r="C73" s="80" t="s">
        <v>4</v>
      </c>
      <c r="D73" s="81">
        <v>18033515</v>
      </c>
    </row>
    <row r="74" spans="1:4" x14ac:dyDescent="0.3">
      <c r="A74" s="80">
        <v>2018</v>
      </c>
      <c r="B74" s="80" t="s">
        <v>199</v>
      </c>
      <c r="C74" s="80" t="s">
        <v>200</v>
      </c>
      <c r="D74" s="81">
        <v>143461</v>
      </c>
    </row>
    <row r="75" spans="1:4" x14ac:dyDescent="0.3">
      <c r="A75" s="80">
        <v>2018</v>
      </c>
      <c r="B75" s="80" t="s">
        <v>201</v>
      </c>
      <c r="C75" s="80" t="s">
        <v>166</v>
      </c>
      <c r="D75" s="81">
        <v>90427</v>
      </c>
    </row>
    <row r="76" spans="1:4" x14ac:dyDescent="0.3">
      <c r="A76" s="80">
        <v>2018</v>
      </c>
      <c r="B76" s="80" t="s">
        <v>202</v>
      </c>
      <c r="C76" s="80" t="s">
        <v>203</v>
      </c>
      <c r="D76" s="81">
        <v>27102521</v>
      </c>
    </row>
    <row r="77" spans="1:4" x14ac:dyDescent="0.3">
      <c r="A77" s="80">
        <v>2018</v>
      </c>
      <c r="B77" s="80" t="s">
        <v>204</v>
      </c>
      <c r="C77" s="80" t="s">
        <v>167</v>
      </c>
      <c r="D77" s="81">
        <v>197374</v>
      </c>
    </row>
    <row r="78" spans="1:4" x14ac:dyDescent="0.3">
      <c r="A78" s="80">
        <v>2018</v>
      </c>
      <c r="B78" s="80" t="s">
        <v>205</v>
      </c>
      <c r="C78" s="80" t="s">
        <v>206</v>
      </c>
      <c r="D78" s="81">
        <v>217472</v>
      </c>
    </row>
    <row r="79" spans="1:4" x14ac:dyDescent="0.3">
      <c r="A79" s="80">
        <v>2018</v>
      </c>
      <c r="B79" s="80" t="s">
        <v>207</v>
      </c>
      <c r="C79" s="80" t="s">
        <v>8</v>
      </c>
      <c r="D79" s="81">
        <v>218141982</v>
      </c>
    </row>
    <row r="80" spans="1:4" x14ac:dyDescent="0.3">
      <c r="A80" s="80">
        <v>2018</v>
      </c>
      <c r="B80" s="80" t="s">
        <v>208</v>
      </c>
      <c r="C80" s="80" t="s">
        <v>170</v>
      </c>
      <c r="D80" s="81">
        <v>36243315</v>
      </c>
    </row>
    <row r="81" spans="1:4" x14ac:dyDescent="0.3">
      <c r="A81" s="80">
        <v>2018</v>
      </c>
      <c r="B81" s="80" t="s">
        <v>11</v>
      </c>
      <c r="C81" s="80" t="s">
        <v>171</v>
      </c>
      <c r="D81" s="81">
        <v>30079464</v>
      </c>
    </row>
    <row r="82" spans="1:4" x14ac:dyDescent="0.3">
      <c r="A82" s="80">
        <v>2018</v>
      </c>
      <c r="B82" s="80" t="s">
        <v>209</v>
      </c>
      <c r="C82" s="80" t="s">
        <v>172</v>
      </c>
      <c r="D82" s="81">
        <v>0</v>
      </c>
    </row>
    <row r="83" spans="1:4" x14ac:dyDescent="0.3">
      <c r="A83" s="80">
        <v>2018</v>
      </c>
      <c r="B83" s="80" t="s">
        <v>210</v>
      </c>
      <c r="C83" s="80" t="s">
        <v>173</v>
      </c>
      <c r="D83" s="81">
        <v>1134203</v>
      </c>
    </row>
    <row r="84" spans="1:4" x14ac:dyDescent="0.3">
      <c r="A84" s="80">
        <v>2018</v>
      </c>
      <c r="B84" s="80" t="s">
        <v>211</v>
      </c>
      <c r="C84" s="80" t="s">
        <v>174</v>
      </c>
      <c r="D84" s="81">
        <v>9899542</v>
      </c>
    </row>
    <row r="85" spans="1:4" x14ac:dyDescent="0.3">
      <c r="A85" s="80">
        <v>2018</v>
      </c>
      <c r="B85" s="80" t="s">
        <v>168</v>
      </c>
      <c r="C85" s="80" t="s">
        <v>169</v>
      </c>
      <c r="D85" s="81">
        <v>16000390</v>
      </c>
    </row>
    <row r="86" spans="1:4" x14ac:dyDescent="0.3">
      <c r="A86" s="80">
        <v>2018</v>
      </c>
      <c r="B86" s="80" t="s">
        <v>212</v>
      </c>
      <c r="C86" s="80" t="s">
        <v>16</v>
      </c>
      <c r="D86" s="81">
        <v>93356914</v>
      </c>
    </row>
    <row r="87" spans="1:4" x14ac:dyDescent="0.3">
      <c r="A87" s="80">
        <v>2018</v>
      </c>
      <c r="B87" s="80" t="s">
        <v>213</v>
      </c>
      <c r="C87" s="80" t="s">
        <v>214</v>
      </c>
      <c r="D87" s="81">
        <v>311498896</v>
      </c>
    </row>
    <row r="88" spans="1:4" x14ac:dyDescent="0.3">
      <c r="A88" s="80">
        <v>2018</v>
      </c>
      <c r="B88" s="80" t="s">
        <v>19</v>
      </c>
      <c r="C88" s="80" t="s">
        <v>20</v>
      </c>
      <c r="D88" s="81">
        <v>26412210</v>
      </c>
    </row>
    <row r="89" spans="1:4" x14ac:dyDescent="0.3">
      <c r="A89" s="80">
        <v>2018</v>
      </c>
      <c r="B89" s="80" t="s">
        <v>215</v>
      </c>
      <c r="C89" s="80" t="s">
        <v>22</v>
      </c>
      <c r="D89" s="81">
        <v>2182483</v>
      </c>
    </row>
    <row r="90" spans="1:4" x14ac:dyDescent="0.3">
      <c r="A90" s="80">
        <v>2018</v>
      </c>
      <c r="B90" s="80" t="s">
        <v>23</v>
      </c>
      <c r="C90" s="80" t="s">
        <v>175</v>
      </c>
      <c r="D90" s="81">
        <v>60137391</v>
      </c>
    </row>
    <row r="91" spans="1:4" x14ac:dyDescent="0.3">
      <c r="A91" s="80">
        <v>2018</v>
      </c>
      <c r="B91" s="80" t="s">
        <v>24</v>
      </c>
      <c r="C91" s="80" t="s">
        <v>25</v>
      </c>
      <c r="D91" s="81">
        <v>52896580</v>
      </c>
    </row>
    <row r="92" spans="1:4" x14ac:dyDescent="0.3">
      <c r="A92" s="80">
        <v>2018</v>
      </c>
      <c r="B92" s="80" t="s">
        <v>216</v>
      </c>
      <c r="C92" s="80" t="s">
        <v>217</v>
      </c>
      <c r="D92" s="81">
        <v>141628664</v>
      </c>
    </row>
    <row r="93" spans="1:4" x14ac:dyDescent="0.3">
      <c r="A93" s="80">
        <v>2018</v>
      </c>
      <c r="B93" s="80" t="s">
        <v>218</v>
      </c>
      <c r="C93" s="80" t="s">
        <v>219</v>
      </c>
      <c r="D93" s="81">
        <v>938553</v>
      </c>
    </row>
    <row r="94" spans="1:4" x14ac:dyDescent="0.3">
      <c r="A94" s="80">
        <v>2018</v>
      </c>
      <c r="B94" s="80" t="s">
        <v>220</v>
      </c>
      <c r="C94" s="80" t="s">
        <v>221</v>
      </c>
      <c r="D94" s="81">
        <v>142567217</v>
      </c>
    </row>
    <row r="95" spans="1:4" x14ac:dyDescent="0.3">
      <c r="A95" s="80">
        <v>2018</v>
      </c>
      <c r="B95" s="80" t="s">
        <v>222</v>
      </c>
      <c r="C95" s="80" t="s">
        <v>223</v>
      </c>
      <c r="D95" s="81">
        <v>285294</v>
      </c>
    </row>
    <row r="96" spans="1:4" x14ac:dyDescent="0.3">
      <c r="A96" s="80">
        <v>2018</v>
      </c>
      <c r="B96" s="80" t="s">
        <v>224</v>
      </c>
      <c r="C96" s="80" t="s">
        <v>31</v>
      </c>
      <c r="D96" s="81">
        <v>8902075</v>
      </c>
    </row>
    <row r="97" spans="1:4" x14ac:dyDescent="0.3">
      <c r="A97" s="80">
        <v>2018</v>
      </c>
      <c r="B97" s="80" t="s">
        <v>181</v>
      </c>
      <c r="C97" s="80" t="s">
        <v>182</v>
      </c>
      <c r="D97" s="81">
        <v>37264631</v>
      </c>
    </row>
    <row r="98" spans="1:4" x14ac:dyDescent="0.3">
      <c r="A98" s="80">
        <v>2018</v>
      </c>
      <c r="B98" s="80" t="s">
        <v>225</v>
      </c>
      <c r="C98" s="80" t="s">
        <v>183</v>
      </c>
      <c r="D98" s="81">
        <v>27300954</v>
      </c>
    </row>
    <row r="99" spans="1:4" x14ac:dyDescent="0.3">
      <c r="A99" s="80">
        <v>2018</v>
      </c>
      <c r="B99" s="80" t="s">
        <v>226</v>
      </c>
      <c r="C99" s="80" t="s">
        <v>35</v>
      </c>
      <c r="D99" s="81">
        <v>73752954</v>
      </c>
    </row>
    <row r="100" spans="1:4" x14ac:dyDescent="0.3">
      <c r="A100" s="80">
        <v>2018</v>
      </c>
      <c r="B100" s="80" t="s">
        <v>176</v>
      </c>
      <c r="C100" s="80" t="s">
        <v>227</v>
      </c>
      <c r="D100" s="81">
        <v>34352570</v>
      </c>
    </row>
    <row r="101" spans="1:4" x14ac:dyDescent="0.3">
      <c r="A101" s="80">
        <v>2018</v>
      </c>
      <c r="B101" s="80" t="s">
        <v>177</v>
      </c>
      <c r="C101" s="80" t="s">
        <v>178</v>
      </c>
      <c r="D101" s="81">
        <v>52606680</v>
      </c>
    </row>
    <row r="102" spans="1:4" x14ac:dyDescent="0.3">
      <c r="A102" s="80">
        <v>2018</v>
      </c>
      <c r="B102" s="80" t="s">
        <v>179</v>
      </c>
      <c r="C102" s="80" t="s">
        <v>180</v>
      </c>
      <c r="D102" s="81">
        <v>8219475</v>
      </c>
    </row>
    <row r="103" spans="1:4" x14ac:dyDescent="0.3">
      <c r="A103" s="80">
        <v>2018</v>
      </c>
      <c r="B103" s="80" t="s">
        <v>228</v>
      </c>
      <c r="C103" s="80" t="s">
        <v>39</v>
      </c>
      <c r="D103" s="81">
        <v>95178725</v>
      </c>
    </row>
    <row r="104" spans="1:4" x14ac:dyDescent="0.3">
      <c r="A104" s="80">
        <v>2018</v>
      </c>
      <c r="B104" s="80" t="s">
        <v>229</v>
      </c>
      <c r="C104" s="80" t="s">
        <v>41</v>
      </c>
      <c r="D104" s="81">
        <v>168931679</v>
      </c>
    </row>
    <row r="105" spans="1:4" x14ac:dyDescent="0.3">
      <c r="A105" s="80">
        <v>2018</v>
      </c>
      <c r="B105" s="80" t="s">
        <v>230</v>
      </c>
      <c r="C105" s="80" t="s">
        <v>231</v>
      </c>
      <c r="D105" s="81">
        <v>311498896</v>
      </c>
    </row>
  </sheetData>
  <autoFilter ref="A3:D207" xr:uid="{1365120E-2296-4813-8E3A-9715D73AB079}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C3E70-442B-4517-AA26-39466085205B}">
  <dimension ref="A1:AJ48"/>
  <sheetViews>
    <sheetView showGridLines="0" workbookViewId="0">
      <selection activeCell="G2" sqref="G2"/>
    </sheetView>
  </sheetViews>
  <sheetFormatPr defaultColWidth="9.109375" defaultRowHeight="14.4" x14ac:dyDescent="0.3"/>
  <cols>
    <col min="1" max="1" width="22.6640625" style="40" customWidth="1"/>
    <col min="2" max="2" width="16.6640625" style="40" bestFit="1" customWidth="1"/>
    <col min="3" max="3" width="17.5546875" style="40" bestFit="1" customWidth="1"/>
    <col min="4" max="4" width="17.6640625" style="40" customWidth="1"/>
    <col min="5" max="5" width="14.109375" style="40" bestFit="1" customWidth="1"/>
    <col min="6" max="6" width="14.5546875" style="40" bestFit="1" customWidth="1"/>
    <col min="7" max="7" width="13.44140625" style="40" bestFit="1" customWidth="1"/>
    <col min="8" max="8" width="12.88671875" style="40" bestFit="1" customWidth="1"/>
    <col min="9" max="9" width="15" style="40" bestFit="1" customWidth="1"/>
    <col min="10" max="10" width="6.33203125" style="40" customWidth="1"/>
    <col min="11" max="11" width="5.44140625" style="40" bestFit="1" customWidth="1"/>
    <col min="12" max="12" width="5.5546875" style="40" bestFit="1" customWidth="1"/>
    <col min="13" max="13" width="24.6640625" style="53" bestFit="1" customWidth="1"/>
    <col min="14" max="14" width="3" style="40" customWidth="1"/>
    <col min="15" max="15" width="9.109375" style="53"/>
    <col min="16" max="16" width="2.88671875" style="40" customWidth="1"/>
    <col min="17" max="17" width="9.33203125" style="40" bestFit="1" customWidth="1"/>
    <col min="18" max="18" width="16.109375" style="40" bestFit="1" customWidth="1"/>
    <col min="19" max="19" width="24.6640625" style="40" bestFit="1" customWidth="1"/>
    <col min="20" max="20" width="3.33203125" style="40" customWidth="1"/>
    <col min="21" max="21" width="9.33203125" style="40" bestFit="1" customWidth="1"/>
    <col min="22" max="23" width="9.109375" style="40"/>
    <col min="24" max="24" width="21.77734375" style="40" bestFit="1" customWidth="1"/>
    <col min="25" max="25" width="9.109375" style="53"/>
    <col min="26" max="26" width="9.109375" style="40"/>
    <col min="27" max="27" width="3.5546875" style="40" customWidth="1"/>
    <col min="28" max="28" width="9.109375" style="40"/>
    <col min="29" max="29" width="20" style="40" bestFit="1" customWidth="1"/>
    <col min="30" max="30" width="33.44140625" style="40" customWidth="1"/>
    <col min="31" max="32" width="9.109375" style="40"/>
    <col min="33" max="33" width="32.88671875" style="40" customWidth="1"/>
    <col min="34" max="34" width="14.5546875" style="40" bestFit="1" customWidth="1"/>
    <col min="35" max="35" width="15.6640625" style="40" bestFit="1" customWidth="1"/>
    <col min="36" max="16384" width="9.109375" style="40"/>
  </cols>
  <sheetData>
    <row r="1" spans="1:36" x14ac:dyDescent="0.3">
      <c r="A1" s="42" t="str">
        <f>A4&amp;" vs. "&amp;A5</f>
        <v>Total current liabilities vs. Total current assets</v>
      </c>
      <c r="B1" s="42"/>
      <c r="F1" s="54" t="s">
        <v>269</v>
      </c>
      <c r="G1" s="54" t="s">
        <v>270</v>
      </c>
      <c r="H1" s="54" t="s">
        <v>271</v>
      </c>
    </row>
    <row r="2" spans="1:36" x14ac:dyDescent="0.3">
      <c r="D2" s="71" t="s">
        <v>272</v>
      </c>
      <c r="E2" s="71" t="s">
        <v>273</v>
      </c>
      <c r="F2" s="71" t="s">
        <v>274</v>
      </c>
      <c r="G2" s="71" t="s">
        <v>275</v>
      </c>
      <c r="H2" s="71" t="s">
        <v>276</v>
      </c>
      <c r="L2" s="54" t="s">
        <v>150</v>
      </c>
      <c r="M2" s="53" t="s">
        <v>122</v>
      </c>
      <c r="O2" s="53" t="s">
        <v>123</v>
      </c>
      <c r="Y2" s="53" t="s">
        <v>125</v>
      </c>
    </row>
    <row r="3" spans="1:36" x14ac:dyDescent="0.3">
      <c r="B3" s="44"/>
      <c r="C3" s="44"/>
      <c r="D3" s="44">
        <f>Data_Interim!L3</f>
        <v>0</v>
      </c>
      <c r="E3" s="44">
        <f>Data_Interim!M3</f>
        <v>0</v>
      </c>
      <c r="F3" s="44">
        <f>Data_Interim!N3</f>
        <v>2019</v>
      </c>
      <c r="G3" s="44">
        <f>Data_Interim!O3</f>
        <v>2020</v>
      </c>
      <c r="H3" s="44">
        <f>Data_Interim!P3</f>
        <v>2021</v>
      </c>
      <c r="K3" s="103">
        <v>2021</v>
      </c>
      <c r="L3" s="40">
        <f>H9</f>
        <v>2021</v>
      </c>
      <c r="M3" s="53" t="s">
        <v>8</v>
      </c>
      <c r="O3" s="53" t="s">
        <v>120</v>
      </c>
      <c r="Q3" s="40">
        <v>1</v>
      </c>
      <c r="R3" s="40" t="s">
        <v>121</v>
      </c>
      <c r="S3" s="40" t="s">
        <v>8</v>
      </c>
      <c r="T3" s="40" t="str">
        <f>IF(R3=$A$8,Q3,"")</f>
        <v/>
      </c>
      <c r="U3" s="40">
        <f>SMALL($T$3:$T$10,ROWS(T3:$T$3))</f>
        <v>7</v>
      </c>
      <c r="V3" s="40" t="str">
        <f>VLOOKUP(U3,$Q$3:$S$10,3,0)</f>
        <v>Total liabilities</v>
      </c>
      <c r="X3" s="40" t="s">
        <v>8</v>
      </c>
      <c r="Y3" s="53" t="s">
        <v>126</v>
      </c>
      <c r="AB3" s="40">
        <v>1</v>
      </c>
      <c r="AC3" s="40" t="s">
        <v>126</v>
      </c>
      <c r="AD3" s="40" t="s">
        <v>2</v>
      </c>
      <c r="AE3" s="40" t="str">
        <f>IF(AC3=Charts!$G$20,hiddenPage!AB3,"")</f>
        <v/>
      </c>
      <c r="AF3" s="40">
        <f>SMALL($AE$3:$AE$27,ROWS($AE3:AE$3))</f>
        <v>8</v>
      </c>
      <c r="AG3" s="40" t="str">
        <f>IF(ISERROR(VLOOKUP(AF3,$AB$3:$AD$30,3,0)),"",VLOOKUP(AF3,$AB$3:$AD$30,3,0))</f>
        <v>Current inventories</v>
      </c>
      <c r="AH3" s="45" t="e">
        <f>SUMIF('1.FinancialPosition'!B:B,hiddenPage!AG3,'1.FinancialPosition'!#REF!)+SUMIF('1.FinancialPosition'!B:B,hiddenPage!AG3,'1.FinancialPosition'!#REF!)+SUMIF('1.FinancialPosition'!B:B,hiddenPage!AG3,'1.FinancialPosition'!#REF!)+SUMIF('1.FinancialPosition'!B:B,hiddenPage!AG3,'1.FinancialPosition'!#REF!)+SUMIF('1.FinancialPosition'!B:B,hiddenPage!AG3,'1.FinancialPosition'!C:C)+SUMIF('1.FinancialPosition'!B:B,hiddenPage!AG3,'1.FinancialPosition'!D:D)+SUMIF('1.FinancialPosition'!B:B,hiddenPage!AG3,'1.FinancialPosition'!E:E)</f>
        <v>#REF!</v>
      </c>
      <c r="AI3" s="60" t="e">
        <f>LARGE($AH$3:$AH$13,ROWS(AG3:$AG$3))</f>
        <v>#REF!</v>
      </c>
      <c r="AJ3" s="40" t="e">
        <f t="shared" ref="AJ3:AJ13" si="0">INDEX(AG:AG,MATCH(AI3,AH:AH,0))</f>
        <v>#REF!</v>
      </c>
    </row>
    <row r="4" spans="1:36" x14ac:dyDescent="0.3">
      <c r="A4" s="43" t="str">
        <f>Charts!G2</f>
        <v>Total current liabilities</v>
      </c>
      <c r="B4" s="45"/>
      <c r="C4" s="45"/>
      <c r="D4" s="45" t="e">
        <f>SUMIF('1.FinancialPosition'!$B:$B,$A4,'1.FinancialPosition'!#REF!)</f>
        <v>#REF!</v>
      </c>
      <c r="E4" s="45" t="e">
        <f>SUMIF('1.FinancialPosition'!$B:$B,$A4,'1.FinancialPosition'!#REF!)</f>
        <v>#REF!</v>
      </c>
      <c r="F4" s="45">
        <f>SUMIF('1.FinancialPosition'!$B:$B,$A4,'1.FinancialPosition'!C:C)</f>
        <v>102658490.53199986</v>
      </c>
      <c r="G4" s="45">
        <f>SUMIF('1.FinancialPosition'!$B:$B,$A4,'1.FinancialPosition'!D:D)</f>
        <v>103113738.99457584</v>
      </c>
      <c r="H4" s="45">
        <f>SUMIF('1.FinancialPosition'!$B:$B,$A4,'1.FinancialPosition'!E:E)</f>
        <v>120416800.56284985</v>
      </c>
      <c r="L4" s="40">
        <f>G9</f>
        <v>2020</v>
      </c>
      <c r="M4" s="53" t="s">
        <v>16</v>
      </c>
      <c r="O4" s="53" t="s">
        <v>121</v>
      </c>
      <c r="Q4" s="40">
        <v>2</v>
      </c>
      <c r="R4" s="40" t="s">
        <v>121</v>
      </c>
      <c r="S4" s="40" t="s">
        <v>16</v>
      </c>
      <c r="T4" s="40" t="str">
        <f t="shared" ref="T4:T10" si="1">IF(R4=$A$8,Q4,"")</f>
        <v/>
      </c>
      <c r="U4" s="40">
        <f>SMALL($T$3:$T$10,ROWS(T$3:$T4))</f>
        <v>8</v>
      </c>
      <c r="V4" s="40" t="str">
        <f t="shared" ref="V4:V10" si="2">VLOOKUP(U4,$Q$3:$S$10,3,0)</f>
        <v>Total Equity</v>
      </c>
      <c r="X4" s="40" t="s">
        <v>16</v>
      </c>
      <c r="Y4" s="53" t="s">
        <v>109</v>
      </c>
      <c r="AB4" s="40">
        <f>AB3+1</f>
        <v>2</v>
      </c>
      <c r="AC4" s="40" t="s">
        <v>126</v>
      </c>
      <c r="AD4" s="40" t="s">
        <v>4</v>
      </c>
      <c r="AE4" s="40" t="str">
        <f>IF(AC4=Charts!$G$20,hiddenPage!AB4,"")</f>
        <v/>
      </c>
      <c r="AF4" s="40">
        <f>SMALL($AE$3:$AE$27,ROWS($AE$3:AE4))</f>
        <v>9</v>
      </c>
      <c r="AG4" s="40" t="str">
        <f t="shared" ref="AG4:AG13" si="3">IF(ISERROR(VLOOKUP(AF4,$AB$3:$AD$30,3,0)),"",VLOOKUP(AF4,$AB$3:$AD$30,3,0))</f>
        <v>Trade and other current receivables</v>
      </c>
      <c r="AH4" s="45" t="e">
        <f>SUMIF('1.FinancialPosition'!B:B,hiddenPage!AG4,'1.FinancialPosition'!#REF!)+SUMIF('1.FinancialPosition'!B:B,hiddenPage!AG4,'1.FinancialPosition'!#REF!)+SUMIF('1.FinancialPosition'!B:B,hiddenPage!AG4,'1.FinancialPosition'!#REF!)+SUMIF('1.FinancialPosition'!B:B,hiddenPage!AG4,'1.FinancialPosition'!#REF!)+SUMIF('1.FinancialPosition'!B:B,hiddenPage!AG4,'1.FinancialPosition'!C:C)+SUMIF('1.FinancialPosition'!B:B,hiddenPage!AG4,'1.FinancialPosition'!D:D)+SUMIF('1.FinancialPosition'!B:B,hiddenPage!AG4,'1.FinancialPosition'!E:E)</f>
        <v>#REF!</v>
      </c>
      <c r="AI4" s="60" t="e">
        <f>LARGE($AH$3:$AH$13,ROWS(AG$3:$AG4))</f>
        <v>#REF!</v>
      </c>
      <c r="AJ4" s="40" t="e">
        <f t="shared" si="0"/>
        <v>#REF!</v>
      </c>
    </row>
    <row r="5" spans="1:36" x14ac:dyDescent="0.3">
      <c r="A5" s="43" t="str">
        <f>Charts!G3</f>
        <v>Total current assets</v>
      </c>
      <c r="B5" s="45"/>
      <c r="C5" s="45"/>
      <c r="D5" s="45" t="e">
        <f>SUMIF('1.FinancialPosition'!$B:$B,$A5,'1.FinancialPosition'!#REF!)</f>
        <v>#REF!</v>
      </c>
      <c r="E5" s="45" t="e">
        <f>SUMIF('1.FinancialPosition'!$B:$B,$A5,'1.FinancialPosition'!#REF!)</f>
        <v>#REF!</v>
      </c>
      <c r="F5" s="45">
        <f>SUMIF('1.FinancialPosition'!$B:$B,$A5,'1.FinancialPosition'!C:C)</f>
        <v>96701134.125047624</v>
      </c>
      <c r="G5" s="45">
        <f>SUMIF('1.FinancialPosition'!$B:$B,$A5,'1.FinancialPosition'!D:D)</f>
        <v>103026397.10403591</v>
      </c>
      <c r="H5" s="45">
        <f>SUMIF('1.FinancialPosition'!$B:$B,$A5,'1.FinancialPosition'!E:E)</f>
        <v>126480541.12704095</v>
      </c>
      <c r="L5" s="40">
        <f>F9</f>
        <v>2019</v>
      </c>
      <c r="M5" s="53" t="s">
        <v>18</v>
      </c>
      <c r="O5" s="53" t="s">
        <v>124</v>
      </c>
      <c r="Q5" s="40">
        <v>3</v>
      </c>
      <c r="R5" s="40" t="s">
        <v>120</v>
      </c>
      <c r="S5" s="40" t="s">
        <v>35</v>
      </c>
      <c r="T5" s="40" t="str">
        <f t="shared" si="1"/>
        <v/>
      </c>
      <c r="U5" s="40" t="e">
        <f>SMALL($T$3:$T$10,ROWS(T$3:$T5))</f>
        <v>#NUM!</v>
      </c>
      <c r="V5" s="40" t="e">
        <f t="shared" si="2"/>
        <v>#NUM!</v>
      </c>
      <c r="X5" s="40" t="s">
        <v>35</v>
      </c>
      <c r="Y5" s="53" t="s">
        <v>127</v>
      </c>
      <c r="AB5" s="40">
        <f t="shared" ref="AB5:AB27" si="4">AB4+1</f>
        <v>3</v>
      </c>
      <c r="AC5" s="40" t="s">
        <v>126</v>
      </c>
      <c r="AD5" s="40" t="s">
        <v>200</v>
      </c>
      <c r="AE5" s="40" t="str">
        <f>IF(AC5=Charts!$G$20,hiddenPage!AB5,"")</f>
        <v/>
      </c>
      <c r="AF5" s="40">
        <f>SMALL($AE$3:$AE$27,ROWS($AE$3:AE5))</f>
        <v>10</v>
      </c>
      <c r="AG5" s="40" t="str">
        <f t="shared" si="3"/>
        <v>Other current financial assets</v>
      </c>
      <c r="AH5" s="45" t="e">
        <f>SUMIF('1.FinancialPosition'!B:B,hiddenPage!AG5,'1.FinancialPosition'!#REF!)+SUMIF('1.FinancialPosition'!B:B,hiddenPage!AG5,'1.FinancialPosition'!#REF!)+SUMIF('1.FinancialPosition'!B:B,hiddenPage!AG5,'1.FinancialPosition'!#REF!)+SUMIF('1.FinancialPosition'!B:B,hiddenPage!AG5,'1.FinancialPosition'!#REF!)+SUMIF('1.FinancialPosition'!B:B,hiddenPage!AG5,'1.FinancialPosition'!C:C)+SUMIF('1.FinancialPosition'!B:B,hiddenPage!AG5,'1.FinancialPosition'!D:D)+SUMIF('1.FinancialPosition'!B:B,hiddenPage!AG5,'1.FinancialPosition'!E:E)</f>
        <v>#REF!</v>
      </c>
      <c r="AI5" s="60" t="e">
        <f>LARGE($AH$3:$AH$13,ROWS(AG$3:$AG5))</f>
        <v>#REF!</v>
      </c>
      <c r="AJ5" s="40" t="e">
        <f t="shared" si="0"/>
        <v>#REF!</v>
      </c>
    </row>
    <row r="6" spans="1:36" x14ac:dyDescent="0.3">
      <c r="L6" s="40">
        <f>E9</f>
        <v>0</v>
      </c>
      <c r="M6" s="53" t="s">
        <v>27</v>
      </c>
      <c r="O6" s="53" t="s">
        <v>130</v>
      </c>
      <c r="Q6" s="40">
        <v>4</v>
      </c>
      <c r="R6" s="40" t="s">
        <v>120</v>
      </c>
      <c r="S6" s="40" t="s">
        <v>39</v>
      </c>
      <c r="T6" s="40" t="str">
        <f t="shared" si="1"/>
        <v/>
      </c>
      <c r="U6" s="40" t="e">
        <f>SMALL($T$3:$T$10,ROWS(T$3:$T6))</f>
        <v>#NUM!</v>
      </c>
      <c r="V6" s="40" t="e">
        <f t="shared" si="2"/>
        <v>#NUM!</v>
      </c>
      <c r="X6" s="40" t="s">
        <v>39</v>
      </c>
      <c r="Y6" s="53" t="s">
        <v>128</v>
      </c>
      <c r="AB6" s="40">
        <f t="shared" si="4"/>
        <v>4</v>
      </c>
      <c r="AC6" s="40" t="s">
        <v>126</v>
      </c>
      <c r="AD6" s="40" t="s">
        <v>166</v>
      </c>
      <c r="AE6" s="40" t="str">
        <f>IF(AC6=Charts!$G$20,hiddenPage!AB6,"")</f>
        <v/>
      </c>
      <c r="AF6" s="40">
        <f>SMALL($AE$3:$AE$27,ROWS($AE$3:AE6))</f>
        <v>11</v>
      </c>
      <c r="AG6" s="40" t="str">
        <f t="shared" si="3"/>
        <v>Other current non-financial assets</v>
      </c>
      <c r="AH6" s="45" t="e">
        <f>SUMIF('1.FinancialPosition'!B:B,hiddenPage!AG6,'1.FinancialPosition'!#REF!)+SUMIF('1.FinancialPosition'!B:B,hiddenPage!AG6,'1.FinancialPosition'!#REF!)+SUMIF('1.FinancialPosition'!B:B,hiddenPage!AG6,'1.FinancialPosition'!#REF!)+SUMIF('1.FinancialPosition'!B:B,hiddenPage!AG6,'1.FinancialPosition'!#REF!)+SUMIF('1.FinancialPosition'!B:B,hiddenPage!AG6,'1.FinancialPosition'!C:C)+SUMIF('1.FinancialPosition'!B:B,hiddenPage!AG6,'1.FinancialPosition'!D:D)+SUMIF('1.FinancialPosition'!B:B,hiddenPage!AG6,'1.FinancialPosition'!E:E)</f>
        <v>#REF!</v>
      </c>
      <c r="AI6" s="60" t="e">
        <f>LARGE($AH$3:$AH$13,ROWS(AG$3:$AG6))</f>
        <v>#REF!</v>
      </c>
      <c r="AJ6" s="40" t="e">
        <f t="shared" si="0"/>
        <v>#REF!</v>
      </c>
    </row>
    <row r="7" spans="1:36" x14ac:dyDescent="0.3">
      <c r="A7" s="42" t="str">
        <f>A10&amp;" vs. "&amp;A11</f>
        <v>Total liabilities vs. Total Equity</v>
      </c>
      <c r="B7" s="42"/>
      <c r="C7" s="42"/>
      <c r="D7" s="41" t="str">
        <f>"Structure of "&amp;A8&amp;" as at "&amp;" Septembe G4 r"&amp;I9</f>
        <v>Structure of Equity&amp;Liabilities as at  Septembe G4 r2019</v>
      </c>
      <c r="E7" s="41"/>
      <c r="L7" s="40">
        <f>D9</f>
        <v>0</v>
      </c>
      <c r="M7" s="53" t="s">
        <v>35</v>
      </c>
      <c r="Q7" s="40">
        <v>5</v>
      </c>
      <c r="R7" s="40" t="s">
        <v>124</v>
      </c>
      <c r="S7" s="40" t="s">
        <v>182</v>
      </c>
      <c r="T7" s="40" t="str">
        <f t="shared" si="1"/>
        <v/>
      </c>
      <c r="U7" s="40" t="e">
        <f>SMALL($T$3:$T$10,ROWS(T$3:$T7))</f>
        <v>#NUM!</v>
      </c>
      <c r="V7" s="40" t="e">
        <f t="shared" si="2"/>
        <v>#NUM!</v>
      </c>
      <c r="X7" s="40" t="s">
        <v>27</v>
      </c>
      <c r="Y7" s="53" t="s">
        <v>129</v>
      </c>
      <c r="AB7" s="40">
        <f t="shared" si="4"/>
        <v>5</v>
      </c>
      <c r="AC7" s="40" t="s">
        <v>126</v>
      </c>
      <c r="AD7" s="40" t="s">
        <v>203</v>
      </c>
      <c r="AE7" s="40" t="str">
        <f>IF(AC7=Charts!$G$20,hiddenPage!AB7,"")</f>
        <v/>
      </c>
      <c r="AF7" s="40">
        <f>SMALL($AE$3:$AE$27,ROWS($AE$3:AE7))</f>
        <v>12</v>
      </c>
      <c r="AG7" s="40" t="str">
        <f t="shared" si="3"/>
        <v>Cash and cash equivalents</v>
      </c>
      <c r="AH7" s="45" t="e">
        <f>SUMIF('1.FinancialPosition'!B:B,hiddenPage!AG7,'1.FinancialPosition'!#REF!)+SUMIF('1.FinancialPosition'!B:B,hiddenPage!AG7,'1.FinancialPosition'!#REF!)+SUMIF('1.FinancialPosition'!B:B,hiddenPage!AG7,'1.FinancialPosition'!#REF!)+SUMIF('1.FinancialPosition'!B:B,hiddenPage!AG7,'1.FinancialPosition'!#REF!)+SUMIF('1.FinancialPosition'!B:B,hiddenPage!AG7,'1.FinancialPosition'!C:C)+SUMIF('1.FinancialPosition'!B:B,hiddenPage!AG7,'1.FinancialPosition'!D:D)+SUMIF('1.FinancialPosition'!B:B,hiddenPage!AG7,'1.FinancialPosition'!E:E)</f>
        <v>#REF!</v>
      </c>
      <c r="AI7" s="60" t="e">
        <f>LARGE($AH$3:$AH$13,ROWS(AG$3:$AG7))</f>
        <v>#REF!</v>
      </c>
      <c r="AJ7" s="40" t="e">
        <f t="shared" si="0"/>
        <v>#REF!</v>
      </c>
    </row>
    <row r="8" spans="1:36" x14ac:dyDescent="0.3">
      <c r="A8" s="40" t="str">
        <f>Charts!O2</f>
        <v>Equity&amp;Liabilities</v>
      </c>
      <c r="B8" s="40">
        <f>IF(B9=Charts!$U$2,1,0)</f>
        <v>0</v>
      </c>
      <c r="C8" s="40">
        <f>IF(C9=Charts!$U$2,1,0)</f>
        <v>0</v>
      </c>
      <c r="D8" s="40">
        <f>IF(D9=Charts!$U$2,1,0)</f>
        <v>0</v>
      </c>
      <c r="E8" s="40">
        <f>IF(E9=Charts!$U$2,1,0)</f>
        <v>0</v>
      </c>
      <c r="F8" s="40">
        <f>IF(F9=Charts!$U$2,1,0)</f>
        <v>0</v>
      </c>
      <c r="G8" s="40">
        <f>IF(G9=Charts!$U$2,1,0)</f>
        <v>0</v>
      </c>
      <c r="H8" s="40">
        <f>IF(H9=Charts!$U$2,1,0)</f>
        <v>1</v>
      </c>
      <c r="M8" s="53" t="s">
        <v>39</v>
      </c>
      <c r="Q8" s="40">
        <v>6</v>
      </c>
      <c r="R8" s="40" t="s">
        <v>124</v>
      </c>
      <c r="S8" s="40" t="s">
        <v>178</v>
      </c>
      <c r="T8" s="40" t="str">
        <f t="shared" si="1"/>
        <v/>
      </c>
      <c r="U8" s="40" t="e">
        <f>SMALL($T$3:$T$10,ROWS(T$3:$T8))</f>
        <v>#NUM!</v>
      </c>
      <c r="V8" s="40" t="e">
        <f t="shared" si="2"/>
        <v>#NUM!</v>
      </c>
      <c r="AB8" s="40">
        <f t="shared" si="4"/>
        <v>6</v>
      </c>
      <c r="AC8" s="40" t="s">
        <v>126</v>
      </c>
      <c r="AD8" s="40" t="s">
        <v>167</v>
      </c>
      <c r="AE8" s="40" t="str">
        <f>IF(AC8=Charts!$G$20,hiddenPage!AB8,"")</f>
        <v/>
      </c>
      <c r="AF8" s="40">
        <f>SMALL($AE$3:$AE$27,ROWS($AE$3:AE8))</f>
        <v>13</v>
      </c>
      <c r="AG8" s="40" t="str">
        <f t="shared" si="3"/>
        <v>Non-current assets or disposal groups classified as held for sale or as held for distribution to owners</v>
      </c>
      <c r="AH8" s="45" t="e">
        <f>SUMIF('1.FinancialPosition'!B:B,hiddenPage!AG8,'1.FinancialPosition'!#REF!)+SUMIF('1.FinancialPosition'!B:B,hiddenPage!AG8,'1.FinancialPosition'!#REF!)+SUMIF('1.FinancialPosition'!B:B,hiddenPage!AG8,'1.FinancialPosition'!#REF!)+SUMIF('1.FinancialPosition'!B:B,hiddenPage!AG8,'1.FinancialPosition'!#REF!)+SUMIF('1.FinancialPosition'!B:B,hiddenPage!AG8,'1.FinancialPosition'!C:C)+SUMIF('1.FinancialPosition'!B:B,hiddenPage!AG8,'1.FinancialPosition'!D:D)+SUMIF('1.FinancialPosition'!B:B,hiddenPage!AG8,'1.FinancialPosition'!E:E)</f>
        <v>#REF!</v>
      </c>
      <c r="AI8" s="60" t="e">
        <f>LARGE($AH$3:$AH$13,ROWS(AG$3:$AG8))</f>
        <v>#REF!</v>
      </c>
      <c r="AJ8" s="40" t="e">
        <f t="shared" si="0"/>
        <v>#REF!</v>
      </c>
    </row>
    <row r="9" spans="1:36" x14ac:dyDescent="0.3">
      <c r="B9" s="44"/>
      <c r="C9" s="44"/>
      <c r="D9" s="44">
        <f>D3</f>
        <v>0</v>
      </c>
      <c r="E9" s="44">
        <f t="shared" ref="E9:H9" si="5">E3</f>
        <v>0</v>
      </c>
      <c r="F9" s="44">
        <f t="shared" si="5"/>
        <v>2019</v>
      </c>
      <c r="G9" s="44">
        <f t="shared" si="5"/>
        <v>2020</v>
      </c>
      <c r="H9" s="44">
        <f t="shared" si="5"/>
        <v>2021</v>
      </c>
      <c r="I9" s="44">
        <f>Charts!G21</f>
        <v>2019</v>
      </c>
      <c r="M9" s="53" t="s">
        <v>41</v>
      </c>
      <c r="Q9" s="40">
        <v>7</v>
      </c>
      <c r="R9" s="40" t="s">
        <v>130</v>
      </c>
      <c r="S9" s="40" t="s">
        <v>41</v>
      </c>
      <c r="T9" s="40">
        <f t="shared" si="1"/>
        <v>7</v>
      </c>
      <c r="U9" s="40" t="e">
        <f>SMALL($T$3:$T$10,ROWS(T$3:$T9))</f>
        <v>#NUM!</v>
      </c>
      <c r="V9" s="40" t="e">
        <f t="shared" si="2"/>
        <v>#NUM!</v>
      </c>
      <c r="AB9" s="40">
        <f t="shared" si="4"/>
        <v>7</v>
      </c>
      <c r="AC9" s="40" t="s">
        <v>126</v>
      </c>
      <c r="AD9" s="40" t="s">
        <v>206</v>
      </c>
      <c r="AE9" s="40" t="str">
        <f>IF(AC9=Charts!$G$20,hiddenPage!AB9,"")</f>
        <v/>
      </c>
      <c r="AF9" s="40" t="e">
        <f>SMALL($AE$3:$AE$27,ROWS($AE$3:AE9))</f>
        <v>#NUM!</v>
      </c>
      <c r="AG9" s="40" t="str">
        <f t="shared" si="3"/>
        <v/>
      </c>
      <c r="AH9" s="45" t="e">
        <f>SUMIF('1.FinancialPosition'!B:B,hiddenPage!AG9,'1.FinancialPosition'!#REF!)+SUMIF('1.FinancialPosition'!B:B,hiddenPage!AG9,'1.FinancialPosition'!#REF!)+SUMIF('1.FinancialPosition'!B:B,hiddenPage!AG9,'1.FinancialPosition'!#REF!)+SUMIF('1.FinancialPosition'!B:B,hiddenPage!AG9,'1.FinancialPosition'!#REF!)+SUMIF('1.FinancialPosition'!B:B,hiddenPage!AG9,'1.FinancialPosition'!C:C)+SUMIF('1.FinancialPosition'!B:B,hiddenPage!AG9,'1.FinancialPosition'!D:D)+SUMIF('1.FinancialPosition'!B:B,hiddenPage!AG9,'1.FinancialPosition'!E:E)</f>
        <v>#REF!</v>
      </c>
      <c r="AI9" s="60" t="e">
        <f>LARGE($AH$3:$AH$13,ROWS(AG$3:$AG9))</f>
        <v>#REF!</v>
      </c>
      <c r="AJ9" s="40" t="e">
        <f t="shared" si="0"/>
        <v>#REF!</v>
      </c>
    </row>
    <row r="10" spans="1:36" x14ac:dyDescent="0.3">
      <c r="A10" s="43" t="str">
        <f>V3</f>
        <v>Total liabilities</v>
      </c>
      <c r="B10" s="45"/>
      <c r="C10" s="45"/>
      <c r="D10" s="45" t="e">
        <f>SUMIF('1.FinancialPosition'!$B:$B,$A10,'1.FinancialPosition'!#REF!)</f>
        <v>#REF!</v>
      </c>
      <c r="E10" s="45" t="e">
        <f>SUMIF('1.FinancialPosition'!$B:$B,$A10,'1.FinancialPosition'!#REF!)</f>
        <v>#REF!</v>
      </c>
      <c r="F10" s="45">
        <f>SUMIF('1.FinancialPosition'!$B:$B,$A10,'1.FinancialPosition'!C:C)</f>
        <v>165192940.79902285</v>
      </c>
      <c r="G10" s="45">
        <f>SUMIF('1.FinancialPosition'!$B:$B,$A10,'1.FinancialPosition'!D:D)</f>
        <v>148158420.65282285</v>
      </c>
      <c r="H10" s="45">
        <f>SUMIF('1.FinancialPosition'!$B:$B,$A10,'1.FinancialPosition'!E:E)</f>
        <v>157657014.43284985</v>
      </c>
      <c r="I10" s="100">
        <f>SUMPRODUCT(F10:H10,$F$8:$H$8)</f>
        <v>157657014.43284985</v>
      </c>
      <c r="M10" s="53" t="s">
        <v>43</v>
      </c>
      <c r="Q10" s="40">
        <v>8</v>
      </c>
      <c r="R10" s="40" t="s">
        <v>130</v>
      </c>
      <c r="S10" s="40" t="s">
        <v>27</v>
      </c>
      <c r="T10" s="40">
        <f t="shared" si="1"/>
        <v>8</v>
      </c>
      <c r="U10" s="40" t="e">
        <f>SMALL($T$3:$T$10,ROWS(T$3:$T10))</f>
        <v>#NUM!</v>
      </c>
      <c r="V10" s="40" t="e">
        <f t="shared" si="2"/>
        <v>#NUM!</v>
      </c>
      <c r="AB10" s="40">
        <f t="shared" si="4"/>
        <v>8</v>
      </c>
      <c r="AC10" s="40" t="s">
        <v>109</v>
      </c>
      <c r="AD10" s="40" t="s">
        <v>170</v>
      </c>
      <c r="AE10" s="40">
        <f>IF(AC10=Charts!$G$20,hiddenPage!AB10,"")</f>
        <v>8</v>
      </c>
      <c r="AF10" s="40" t="e">
        <f>SMALL($AE$3:$AE$27,ROWS($AE$3:AE10))</f>
        <v>#NUM!</v>
      </c>
      <c r="AG10" s="40" t="str">
        <f t="shared" si="3"/>
        <v/>
      </c>
      <c r="AH10" s="45" t="e">
        <f>SUMIF('1.FinancialPosition'!B:B,hiddenPage!AG10,'1.FinancialPosition'!#REF!)+SUMIF('1.FinancialPosition'!B:B,hiddenPage!AG10,'1.FinancialPosition'!#REF!)+SUMIF('1.FinancialPosition'!B:B,hiddenPage!AG10,'1.FinancialPosition'!#REF!)+SUMIF('1.FinancialPosition'!B:B,hiddenPage!AG10,'1.FinancialPosition'!#REF!)+SUMIF('1.FinancialPosition'!B:B,hiddenPage!AG10,'1.FinancialPosition'!C:C)+SUMIF('1.FinancialPosition'!B:B,hiddenPage!AG10,'1.FinancialPosition'!D:D)+SUMIF('1.FinancialPosition'!B:B,hiddenPage!AG10,'1.FinancialPosition'!E:E)</f>
        <v>#REF!</v>
      </c>
      <c r="AI10" s="60" t="e">
        <f>LARGE($AH$3:$AH$13,ROWS(AG$3:$AG10))</f>
        <v>#REF!</v>
      </c>
      <c r="AJ10" s="40" t="e">
        <f t="shared" si="0"/>
        <v>#REF!</v>
      </c>
    </row>
    <row r="11" spans="1:36" x14ac:dyDescent="0.3">
      <c r="A11" s="43" t="str">
        <f>V4</f>
        <v>Total Equity</v>
      </c>
      <c r="B11" s="45"/>
      <c r="C11" s="45"/>
      <c r="D11" s="45" t="e">
        <f>SUMIF('1.FinancialPosition'!$B:$B,$A11,'1.FinancialPosition'!#REF!)</f>
        <v>#REF!</v>
      </c>
      <c r="E11" s="45" t="e">
        <f>SUMIF('1.FinancialPosition'!$B:$B,$A11,'1.FinancialPosition'!#REF!)</f>
        <v>#REF!</v>
      </c>
      <c r="F11" s="45">
        <f>SUMIF('1.FinancialPosition'!$B:$B,$A11,'1.FinancialPosition'!C:C)</f>
        <v>141717247.34377953</v>
      </c>
      <c r="G11" s="45">
        <f>SUMIF('1.FinancialPosition'!$B:$B,$A11,'1.FinancialPosition'!D:D)</f>
        <v>142017124.61826012</v>
      </c>
      <c r="H11" s="45">
        <f>SUMIF('1.FinancialPosition'!$B:$B,$A11,'1.FinancialPosition'!E:E)</f>
        <v>142784719.07606646</v>
      </c>
      <c r="I11" s="100">
        <f>SUMPRODUCT(F11:H11,$F$8:$H$8)</f>
        <v>142784719.07606646</v>
      </c>
      <c r="M11" s="53" t="s">
        <v>182</v>
      </c>
      <c r="AB11" s="40">
        <f t="shared" si="4"/>
        <v>9</v>
      </c>
      <c r="AC11" s="40" t="s">
        <v>109</v>
      </c>
      <c r="AD11" s="40" t="s">
        <v>171</v>
      </c>
      <c r="AE11" s="40">
        <f>IF(AC11=Charts!$G$20,hiddenPage!AB11,"")</f>
        <v>9</v>
      </c>
      <c r="AF11" s="40" t="e">
        <f>SMALL($AE$3:$AE$27,ROWS($AE$3:AE11))</f>
        <v>#NUM!</v>
      </c>
      <c r="AG11" s="40" t="str">
        <f t="shared" si="3"/>
        <v/>
      </c>
      <c r="AH11" s="45" t="e">
        <f>SUMIF('1.FinancialPosition'!B:B,hiddenPage!AG11,'1.FinancialPosition'!#REF!)+SUMIF('1.FinancialPosition'!B:B,hiddenPage!AG11,'1.FinancialPosition'!#REF!)+SUMIF('1.FinancialPosition'!B:B,hiddenPage!AG11,'1.FinancialPosition'!#REF!)+SUMIF('1.FinancialPosition'!B:B,hiddenPage!AG11,'1.FinancialPosition'!#REF!)+SUMIF('1.FinancialPosition'!B:B,hiddenPage!AG11,'1.FinancialPosition'!C:C)+SUMIF('1.FinancialPosition'!B:B,hiddenPage!AG11,'1.FinancialPosition'!D:D)+SUMIF('1.FinancialPosition'!B:B,hiddenPage!AG11,'1.FinancialPosition'!E:E)</f>
        <v>#REF!</v>
      </c>
      <c r="AI11" s="60" t="e">
        <f>LARGE($AH$3:$AH$13,ROWS(AG$3:$AG11))</f>
        <v>#REF!</v>
      </c>
      <c r="AJ11" s="40" t="e">
        <f t="shared" si="0"/>
        <v>#REF!</v>
      </c>
    </row>
    <row r="12" spans="1:36" x14ac:dyDescent="0.3">
      <c r="A12" s="40" t="str">
        <f>"Total "&amp;Charts!O2</f>
        <v>Total Equity&amp;Liabilities</v>
      </c>
      <c r="D12" s="56" t="e">
        <f>D10+D11</f>
        <v>#REF!</v>
      </c>
      <c r="E12" s="56" t="e">
        <f t="shared" ref="E12:H12" si="6">E10+E11</f>
        <v>#REF!</v>
      </c>
      <c r="F12" s="56">
        <f t="shared" si="6"/>
        <v>306910188.14280236</v>
      </c>
      <c r="G12" s="56">
        <f t="shared" si="6"/>
        <v>290175545.271083</v>
      </c>
      <c r="H12" s="56">
        <f t="shared" si="6"/>
        <v>300441733.50891632</v>
      </c>
      <c r="M12" s="53" t="s">
        <v>178</v>
      </c>
      <c r="AB12" s="40">
        <f t="shared" si="4"/>
        <v>10</v>
      </c>
      <c r="AC12" s="40" t="s">
        <v>109</v>
      </c>
      <c r="AD12" s="40" t="s">
        <v>172</v>
      </c>
      <c r="AE12" s="40">
        <f>IF(AC12=Charts!$G$20,hiddenPage!AB12,"")</f>
        <v>10</v>
      </c>
      <c r="AF12" s="40" t="e">
        <f>SMALL($AE$3:$AE$27,ROWS($AE$3:AE12))</f>
        <v>#NUM!</v>
      </c>
      <c r="AG12" s="40" t="str">
        <f t="shared" si="3"/>
        <v/>
      </c>
      <c r="AH12" s="45" t="e">
        <f>SUMIF('1.FinancialPosition'!B:B,hiddenPage!AG12,'1.FinancialPosition'!#REF!)+SUMIF('1.FinancialPosition'!B:B,hiddenPage!AG12,'1.FinancialPosition'!#REF!)+SUMIF('1.FinancialPosition'!B:B,hiddenPage!AG12,'1.FinancialPosition'!#REF!)+SUMIF('1.FinancialPosition'!B:B,hiddenPage!AG12,'1.FinancialPosition'!#REF!)+SUMIF('1.FinancialPosition'!B:B,hiddenPage!AG12,'1.FinancialPosition'!C:C)+SUMIF('1.FinancialPosition'!B:B,hiddenPage!AG12,'1.FinancialPosition'!D:D)+SUMIF('1.FinancialPosition'!B:B,hiddenPage!AG12,'1.FinancialPosition'!E:E)</f>
        <v>#REF!</v>
      </c>
      <c r="AI12" s="60" t="e">
        <f>LARGE($AH$3:$AH$13,ROWS(AG$3:$AG12))</f>
        <v>#REF!</v>
      </c>
      <c r="AJ12" s="40" t="e">
        <f t="shared" si="0"/>
        <v>#REF!</v>
      </c>
    </row>
    <row r="13" spans="1:36" x14ac:dyDescent="0.3">
      <c r="A13" s="40" t="str">
        <f>"Structure of "&amp;Charts!G20&amp;" as at "&amp;" 30 September "&amp;I9</f>
        <v>Structure of Current assets as at  30 September 2019</v>
      </c>
      <c r="AB13" s="40">
        <f t="shared" si="4"/>
        <v>11</v>
      </c>
      <c r="AC13" s="40" t="s">
        <v>109</v>
      </c>
      <c r="AD13" s="40" t="s">
        <v>173</v>
      </c>
      <c r="AE13" s="40">
        <f>IF(AC13=Charts!$G$20,hiddenPage!AB13,"")</f>
        <v>11</v>
      </c>
      <c r="AF13" s="40" t="e">
        <f>SMALL($AE$3:$AE$27,ROWS($AE$3:AE13))</f>
        <v>#NUM!</v>
      </c>
      <c r="AG13" s="40" t="str">
        <f t="shared" si="3"/>
        <v/>
      </c>
      <c r="AH13" s="45" t="e">
        <f>SUMIF('1.FinancialPosition'!B:B,hiddenPage!AG13,'1.FinancialPosition'!#REF!)+SUMIF('1.FinancialPosition'!B:B,hiddenPage!AG13,'1.FinancialPosition'!#REF!)+SUMIF('1.FinancialPosition'!B:B,hiddenPage!AG13,'1.FinancialPosition'!#REF!)+SUMIF('1.FinancialPosition'!B:B,hiddenPage!AG13,'1.FinancialPosition'!#REF!)+SUMIF('1.FinancialPosition'!B:B,hiddenPage!AG13,'1.FinancialPosition'!C:C)+SUMIF('1.FinancialPosition'!B:B,hiddenPage!AG13,'1.FinancialPosition'!D:D)+SUMIF('1.FinancialPosition'!B:B,hiddenPage!AG13,'1.FinancialPosition'!E:E)</f>
        <v>#REF!</v>
      </c>
      <c r="AI13" s="60" t="e">
        <f>LARGE($AH$3:$AH$13,ROWS(AG$3:$AG13))</f>
        <v>#REF!</v>
      </c>
      <c r="AJ13" s="40" t="e">
        <f t="shared" si="0"/>
        <v>#REF!</v>
      </c>
    </row>
    <row r="14" spans="1:36" x14ac:dyDescent="0.3">
      <c r="B14" s="40">
        <f>IF(Charts!$G$21=B15,1,0)</f>
        <v>0</v>
      </c>
      <c r="C14" s="40">
        <f>IF(Charts!$G$21=C15,1,0)</f>
        <v>0</v>
      </c>
      <c r="D14" s="40">
        <f>IF(Charts!$G$21=D15,1,0)</f>
        <v>0</v>
      </c>
      <c r="E14" s="40">
        <f>IF(Charts!$G$21=E15,1,0)</f>
        <v>0</v>
      </c>
      <c r="F14" s="40">
        <f>IF(Charts!$G$21=F15,1,0)</f>
        <v>1</v>
      </c>
      <c r="G14" s="40">
        <f>IF(Charts!$G$21=G15,1,0)</f>
        <v>0</v>
      </c>
      <c r="H14" s="40">
        <f>IF(Charts!$G$21=H15,1,0)</f>
        <v>0</v>
      </c>
      <c r="AB14" s="40">
        <f t="shared" si="4"/>
        <v>12</v>
      </c>
      <c r="AC14" s="40" t="s">
        <v>109</v>
      </c>
      <c r="AD14" s="40" t="s">
        <v>174</v>
      </c>
      <c r="AE14" s="40">
        <f>IF(AC14=Charts!$G$20,hiddenPage!AB14,"")</f>
        <v>12</v>
      </c>
      <c r="AF14" s="40" t="e">
        <f>SMALL($AE$3:$AE$27,ROWS($AE$3:AE14))</f>
        <v>#NUM!</v>
      </c>
      <c r="AH14" s="45"/>
      <c r="AI14" s="60"/>
    </row>
    <row r="15" spans="1:36" x14ac:dyDescent="0.3">
      <c r="A15" s="42"/>
      <c r="B15" s="61"/>
      <c r="C15" s="61"/>
      <c r="D15" s="61"/>
      <c r="E15" s="61"/>
      <c r="F15" s="61">
        <f t="shared" ref="F15:H15" si="7">F3</f>
        <v>2019</v>
      </c>
      <c r="G15" s="61">
        <f t="shared" si="7"/>
        <v>2020</v>
      </c>
      <c r="H15" s="61">
        <f t="shared" si="7"/>
        <v>2021</v>
      </c>
      <c r="I15" s="54" t="s">
        <v>137</v>
      </c>
      <c r="J15" s="54" t="s">
        <v>138</v>
      </c>
      <c r="K15" s="54"/>
      <c r="L15" s="54"/>
      <c r="M15" s="53" t="s">
        <v>139</v>
      </c>
      <c r="N15" s="54"/>
      <c r="O15" s="22" t="s">
        <v>140</v>
      </c>
      <c r="P15" s="22"/>
      <c r="Q15" s="22"/>
      <c r="R15" s="22" t="s">
        <v>141</v>
      </c>
      <c r="S15" s="22" t="s">
        <v>142</v>
      </c>
      <c r="AB15" s="40">
        <f t="shared" si="4"/>
        <v>13</v>
      </c>
      <c r="AC15" s="40" t="s">
        <v>109</v>
      </c>
      <c r="AD15" s="40" t="s">
        <v>169</v>
      </c>
      <c r="AE15" s="40">
        <f>IF(AC15=Charts!$G$20,hiddenPage!AB15,"")</f>
        <v>13</v>
      </c>
      <c r="AF15" s="40" t="e">
        <f>SMALL($AE$3:$AE$27,ROWS($AE$3:AE15))</f>
        <v>#NUM!</v>
      </c>
      <c r="AG15" s="40" t="str">
        <f>IF(ISERROR(VLOOKUP(AF15,$AB$3:$AD$30,3,0)),"",VLOOKUP(AF15,$AB$3:$AD$30,3,0))</f>
        <v/>
      </c>
    </row>
    <row r="16" spans="1:36" x14ac:dyDescent="0.3">
      <c r="A16" s="42" t="str">
        <f>AG3</f>
        <v>Current inventories</v>
      </c>
      <c r="B16" s="62"/>
      <c r="C16" s="62"/>
      <c r="D16" s="62"/>
      <c r="E16" s="62"/>
      <c r="F16" s="62">
        <f>SUMIF('1.FinancialPosition'!$B:$B,$A16,'1.FinancialPosition'!C:C)</f>
        <v>38856987.388294674</v>
      </c>
      <c r="G16" s="62">
        <f>SUMIF('1.FinancialPosition'!$B:$B,$A16,'1.FinancialPosition'!D:D)</f>
        <v>40886258.832292967</v>
      </c>
      <c r="H16" s="62">
        <f>SUMIF('1.FinancialPosition'!$B:$B,$A16,'1.FinancialPosition'!E:E)</f>
        <v>55287694.80742798</v>
      </c>
      <c r="I16" s="63">
        <f>SUMPRODUCT($F$14:$H$14,F16:H16)</f>
        <v>38856987.388294674</v>
      </c>
      <c r="J16" s="64">
        <f>RANK(I16,$I$16:$I$22,0)+COUNTIF($I16:I$22,I16)-1</f>
        <v>2</v>
      </c>
      <c r="K16" s="54"/>
      <c r="L16" s="54"/>
      <c r="M16" s="53">
        <v>1</v>
      </c>
      <c r="N16" s="54"/>
      <c r="O16" s="22" t="str">
        <f>INDEX($A$16:$A$22,MATCH(M16,$J$16:$J$22,0))</f>
        <v>Trade and other current receivables</v>
      </c>
      <c r="P16" s="22"/>
      <c r="Q16" s="22"/>
      <c r="R16" s="65">
        <f>SUMIF($A$16:$A$22,O16,$I$16:$I$22)</f>
        <v>40852829.563005954</v>
      </c>
      <c r="S16" s="66">
        <f>R16/$R$23</f>
        <v>0.4224648442093526</v>
      </c>
      <c r="AB16" s="40">
        <f t="shared" si="4"/>
        <v>14</v>
      </c>
      <c r="AC16" s="40" t="s">
        <v>129</v>
      </c>
      <c r="AD16" s="40" t="s">
        <v>20</v>
      </c>
      <c r="AE16" s="40" t="str">
        <f>IF(AC16=Charts!$G$20,hiddenPage!AB16,"")</f>
        <v/>
      </c>
      <c r="AF16" s="40" t="e">
        <f>SMALL($AE$3:$AE$27,ROWS($AE$3:AE16))</f>
        <v>#NUM!</v>
      </c>
    </row>
    <row r="17" spans="1:32" x14ac:dyDescent="0.3">
      <c r="A17" s="42" t="str">
        <f t="shared" ref="A17:A22" si="8">AG4</f>
        <v>Trade and other current receivables</v>
      </c>
      <c r="B17" s="62"/>
      <c r="C17" s="62"/>
      <c r="D17" s="62"/>
      <c r="E17" s="62"/>
      <c r="F17" s="62">
        <f>SUMIF('1.FinancialPosition'!$B:$B,$A17,'1.FinancialPosition'!C:C)</f>
        <v>40852829.563005954</v>
      </c>
      <c r="G17" s="62">
        <f>SUMIF('1.FinancialPosition'!$B:$B,$A17,'1.FinancialPosition'!D:D)</f>
        <v>40712438.085505947</v>
      </c>
      <c r="H17" s="62">
        <f>SUMIF('1.FinancialPosition'!$B:$B,$A17,'1.FinancialPosition'!E:E)</f>
        <v>57105579.01550597</v>
      </c>
      <c r="I17" s="63">
        <f t="shared" ref="I17:I21" si="9">SUMPRODUCT($F$14:$H$14,F17:H17)</f>
        <v>40852829.563005954</v>
      </c>
      <c r="J17" s="64">
        <f>RANK(I17,$I$16:$I$22,0)+COUNTIF($I17:I$22,I17)-1</f>
        <v>1</v>
      </c>
      <c r="K17" s="54"/>
      <c r="L17" s="54"/>
      <c r="M17" s="53">
        <v>2</v>
      </c>
      <c r="N17" s="54"/>
      <c r="O17" s="22" t="str">
        <f t="shared" ref="O17:O22" si="10">INDEX($A$16:$A$22,MATCH(M17,$J$16:$J$22,0))</f>
        <v>Current inventories</v>
      </c>
      <c r="P17" s="22"/>
      <c r="Q17" s="22"/>
      <c r="R17" s="65">
        <f t="shared" ref="R17:R22" si="11">SUMIF($A$16:$A$22,O17,$I$16:$I$22)</f>
        <v>38856987.388294674</v>
      </c>
      <c r="S17" s="66">
        <f t="shared" ref="S17:S22" si="12">R17/$R$23</f>
        <v>0.40182556016403431</v>
      </c>
      <c r="AB17" s="40">
        <f t="shared" si="4"/>
        <v>15</v>
      </c>
      <c r="AC17" s="40" t="s">
        <v>129</v>
      </c>
      <c r="AD17" s="40" t="s">
        <v>22</v>
      </c>
      <c r="AE17" s="40" t="str">
        <f>IF(AC17=Charts!$G$20,hiddenPage!AB17,"")</f>
        <v/>
      </c>
      <c r="AF17" s="40" t="e">
        <f>SMALL($AE$3:$AE$27,ROWS($AE$3:AE17))</f>
        <v>#NUM!</v>
      </c>
    </row>
    <row r="18" spans="1:32" x14ac:dyDescent="0.3">
      <c r="A18" s="42" t="str">
        <f t="shared" si="8"/>
        <v>Other current financial assets</v>
      </c>
      <c r="B18" s="62"/>
      <c r="C18" s="62"/>
      <c r="D18" s="62"/>
      <c r="E18" s="62"/>
      <c r="F18" s="62">
        <f>SUMIF('1.FinancialPosition'!$B:$B,$A18,'1.FinancialPosition'!C:C)</f>
        <v>179924.44</v>
      </c>
      <c r="G18" s="62">
        <f>SUMIF('1.FinancialPosition'!$B:$B,$A18,'1.FinancialPosition'!D:D)</f>
        <v>1164576.8999999999</v>
      </c>
      <c r="H18" s="62">
        <f>SUMIF('1.FinancialPosition'!$B:$B,$A18,'1.FinancialPosition'!E:E)</f>
        <v>181047.01000000007</v>
      </c>
      <c r="I18" s="63">
        <f t="shared" si="9"/>
        <v>179924.44</v>
      </c>
      <c r="J18" s="64">
        <f>RANK(I18,$I$16:$I$22,0)+COUNTIF($I18:I$22,I18)-1</f>
        <v>6</v>
      </c>
      <c r="K18" s="54"/>
      <c r="L18" s="54"/>
      <c r="M18" s="53">
        <v>3</v>
      </c>
      <c r="N18" s="54"/>
      <c r="O18" s="22" t="str">
        <f t="shared" si="10"/>
        <v>Non-current assets or disposal groups classified as held for sale or as held for distribution to owners</v>
      </c>
      <c r="P18" s="22"/>
      <c r="Q18" s="22"/>
      <c r="R18" s="65">
        <f t="shared" si="11"/>
        <v>10136261</v>
      </c>
      <c r="S18" s="66">
        <f t="shared" si="12"/>
        <v>0.10482049762614414</v>
      </c>
      <c r="AB18" s="40">
        <f t="shared" si="4"/>
        <v>16</v>
      </c>
      <c r="AC18" s="40" t="s">
        <v>129</v>
      </c>
      <c r="AD18" s="40" t="s">
        <v>175</v>
      </c>
      <c r="AE18" s="40" t="str">
        <f>IF(AC18=Charts!$G$20,hiddenPage!AB18,"")</f>
        <v/>
      </c>
      <c r="AF18" s="40" t="e">
        <f>SMALL($AE$3:$AE$27,ROWS($AE$3:AE18))</f>
        <v>#NUM!</v>
      </c>
    </row>
    <row r="19" spans="1:32" x14ac:dyDescent="0.3">
      <c r="A19" s="42" t="str">
        <f t="shared" si="8"/>
        <v>Other current non-financial assets</v>
      </c>
      <c r="B19" s="62"/>
      <c r="C19" s="62"/>
      <c r="D19" s="62"/>
      <c r="E19" s="62"/>
      <c r="F19" s="62">
        <f>SUMIF('1.FinancialPosition'!$B:$B,$A19,'1.FinancialPosition'!C:C)</f>
        <v>1394932.48655</v>
      </c>
      <c r="G19" s="62">
        <f>SUMIF('1.FinancialPosition'!$B:$B,$A19,'1.FinancialPosition'!D:D)</f>
        <v>1582111.2865500001</v>
      </c>
      <c r="H19" s="62">
        <f>SUMIF('1.FinancialPosition'!$B:$B,$A19,'1.FinancialPosition'!E:E)</f>
        <v>1445542.23655</v>
      </c>
      <c r="I19" s="63">
        <f t="shared" si="9"/>
        <v>1394932.48655</v>
      </c>
      <c r="J19" s="64">
        <f>RANK(I19,$I$16:$I$22,0)+COUNTIF($I19:I$22,I19)-1</f>
        <v>5</v>
      </c>
      <c r="K19" s="54"/>
      <c r="L19" s="54"/>
      <c r="M19" s="53">
        <v>4</v>
      </c>
      <c r="N19" s="54"/>
      <c r="O19" s="22" t="str">
        <f t="shared" si="10"/>
        <v>Cash and cash equivalents</v>
      </c>
      <c r="P19" s="22"/>
      <c r="Q19" s="22"/>
      <c r="R19" s="65">
        <f t="shared" si="11"/>
        <v>5280199.2471970003</v>
      </c>
      <c r="S19" s="66">
        <f t="shared" si="12"/>
        <v>5.4603281491704014E-2</v>
      </c>
      <c r="AB19" s="40">
        <f t="shared" si="4"/>
        <v>17</v>
      </c>
      <c r="AC19" s="40" t="s">
        <v>129</v>
      </c>
      <c r="AD19" s="40" t="s">
        <v>25</v>
      </c>
      <c r="AE19" s="40" t="str">
        <f>IF(AC19=Charts!$G$20,hiddenPage!AB19,"")</f>
        <v/>
      </c>
      <c r="AF19" s="40" t="e">
        <f>SMALL($AE$3:$AE$27,ROWS($AE$3:AE19))</f>
        <v>#NUM!</v>
      </c>
    </row>
    <row r="20" spans="1:32" x14ac:dyDescent="0.3">
      <c r="A20" s="42" t="str">
        <f t="shared" si="8"/>
        <v>Cash and cash equivalents</v>
      </c>
      <c r="B20" s="62"/>
      <c r="C20" s="62"/>
      <c r="D20" s="62"/>
      <c r="E20" s="62"/>
      <c r="F20" s="62">
        <f>SUMIF('1.FinancialPosition'!$B:$B,$A20,'1.FinancialPosition'!C:C)</f>
        <v>5280199.2471970003</v>
      </c>
      <c r="G20" s="62">
        <f>SUMIF('1.FinancialPosition'!$B:$B,$A20,'1.FinancialPosition'!D:D)</f>
        <v>16104330.419686999</v>
      </c>
      <c r="H20" s="62">
        <f>SUMIF('1.FinancialPosition'!$B:$B,$A20,'1.FinancialPosition'!E:E)</f>
        <v>12389833.057557</v>
      </c>
      <c r="I20" s="63">
        <f t="shared" si="9"/>
        <v>5280199.2471970003</v>
      </c>
      <c r="J20" s="64">
        <f>RANK(I20,$I$16:$I$22,0)+COUNTIF($I20:I$22,I20)-1</f>
        <v>4</v>
      </c>
      <c r="K20" s="54"/>
      <c r="L20" s="54"/>
      <c r="M20" s="53">
        <v>5</v>
      </c>
      <c r="N20" s="54"/>
      <c r="O20" s="22" t="str">
        <f t="shared" si="10"/>
        <v>Other current non-financial assets</v>
      </c>
      <c r="P20" s="22"/>
      <c r="Q20" s="22"/>
      <c r="R20" s="65">
        <f t="shared" si="11"/>
        <v>1394932.48655</v>
      </c>
      <c r="S20" s="66">
        <f t="shared" si="12"/>
        <v>1.4425192622313654E-2</v>
      </c>
      <c r="AB20" s="40">
        <f t="shared" si="4"/>
        <v>18</v>
      </c>
      <c r="AC20" s="40" t="s">
        <v>129</v>
      </c>
      <c r="AD20" s="40" t="s">
        <v>219</v>
      </c>
      <c r="AE20" s="40" t="str">
        <f>IF(AC20=Charts!$G$20,hiddenPage!AB20,"")</f>
        <v/>
      </c>
      <c r="AF20" s="40" t="e">
        <f>SMALL($AE$3:$AE$27,ROWS($AE$3:AE20))</f>
        <v>#NUM!</v>
      </c>
    </row>
    <row r="21" spans="1:32" x14ac:dyDescent="0.3">
      <c r="A21" s="42" t="str">
        <f t="shared" si="8"/>
        <v>Non-current assets or disposal groups classified as held for sale or as held for distribution to owners</v>
      </c>
      <c r="B21" s="62"/>
      <c r="C21" s="62"/>
      <c r="D21" s="62"/>
      <c r="E21" s="62"/>
      <c r="F21" s="62">
        <f>SUMIF('1.FinancialPosition'!$B:$B,$A21,'1.FinancialPosition'!C:C)</f>
        <v>10136261</v>
      </c>
      <c r="G21" s="62">
        <f>SUMIF('1.FinancialPosition'!$B:$B,$A21,'1.FinancialPosition'!D:D)</f>
        <v>2576681.58</v>
      </c>
      <c r="H21" s="62">
        <f>SUMIF('1.FinancialPosition'!$B:$B,$A21,'1.FinancialPosition'!E:E)</f>
        <v>70845</v>
      </c>
      <c r="I21" s="63">
        <f t="shared" si="9"/>
        <v>10136261</v>
      </c>
      <c r="J21" s="64">
        <f>RANK(I21,$I$16:$I$22,0)+COUNTIF($I21:I$22,I21)-1</f>
        <v>3</v>
      </c>
      <c r="K21" s="54"/>
      <c r="L21" s="54"/>
      <c r="M21" s="53">
        <v>6</v>
      </c>
      <c r="N21" s="54"/>
      <c r="O21" s="22" t="str">
        <f t="shared" si="10"/>
        <v>Other current financial assets</v>
      </c>
      <c r="P21" s="22"/>
      <c r="Q21" s="22"/>
      <c r="R21" s="65">
        <f t="shared" si="11"/>
        <v>179924.44</v>
      </c>
      <c r="S21" s="66">
        <f t="shared" si="12"/>
        <v>1.8606238864513564E-3</v>
      </c>
      <c r="AB21" s="40">
        <f t="shared" si="4"/>
        <v>19</v>
      </c>
      <c r="AC21" s="40" t="s">
        <v>127</v>
      </c>
      <c r="AD21" s="40" t="s">
        <v>223</v>
      </c>
      <c r="AE21" s="40" t="str">
        <f>IF(AC21=Charts!$G$20,hiddenPage!AB21,"")</f>
        <v/>
      </c>
      <c r="AF21" s="40" t="e">
        <f>SMALL($AE$3:$AE$27,ROWS($AE$3:AE21))</f>
        <v>#NUM!</v>
      </c>
    </row>
    <row r="22" spans="1:32" x14ac:dyDescent="0.3">
      <c r="A22" s="42" t="str">
        <f t="shared" si="8"/>
        <v/>
      </c>
      <c r="B22" s="62"/>
      <c r="C22" s="62"/>
      <c r="D22" s="62"/>
      <c r="E22" s="62"/>
      <c r="F22" s="62">
        <f>SUMIF('1.FinancialPosition'!$B:$B,$A22,'1.FinancialPosition'!C:C)</f>
        <v>0</v>
      </c>
      <c r="G22" s="62">
        <f>SUMIF('1.FinancialPosition'!$B:$B,$A22,'1.FinancialPosition'!D:D)</f>
        <v>0</v>
      </c>
      <c r="H22" s="62">
        <f>SUMIF('1.FinancialPosition'!$B:$B,$A22,'1.FinancialPosition'!E:E)</f>
        <v>0</v>
      </c>
      <c r="I22" s="63">
        <f t="shared" ref="I22" si="13">SUMPRODUCT($D$14:$H$14,D22:H22)</f>
        <v>0</v>
      </c>
      <c r="J22" s="64">
        <f>RANK(I22,$I$16:$I$22,0)+COUNTIF($I22:I$22,I22)-1</f>
        <v>7</v>
      </c>
      <c r="K22" s="54"/>
      <c r="L22" s="54"/>
      <c r="M22" s="53">
        <v>7</v>
      </c>
      <c r="N22" s="54"/>
      <c r="O22" s="22" t="str">
        <f t="shared" si="10"/>
        <v/>
      </c>
      <c r="P22" s="22"/>
      <c r="Q22" s="22"/>
      <c r="R22" s="65">
        <f t="shared" si="11"/>
        <v>0</v>
      </c>
      <c r="S22" s="66">
        <f t="shared" si="12"/>
        <v>0</v>
      </c>
      <c r="AB22" s="40">
        <f t="shared" si="4"/>
        <v>20</v>
      </c>
      <c r="AC22" s="40" t="s">
        <v>127</v>
      </c>
      <c r="AD22" s="40" t="s">
        <v>31</v>
      </c>
      <c r="AE22" s="40" t="str">
        <f>IF(AC22=Charts!$G$20,hiddenPage!AB22,"")</f>
        <v/>
      </c>
      <c r="AF22" s="40" t="e">
        <f>SMALL($AE$3:$AE$27,ROWS($AE$3:AE22))</f>
        <v>#NUM!</v>
      </c>
    </row>
    <row r="23" spans="1:32" x14ac:dyDescent="0.3">
      <c r="O23" s="53" t="str">
        <f>"Total  : "&amp;TEXT(R23,"#,##0;[Red]-#,##0")&amp;" lei"</f>
        <v>Total  : 96,701,134 lei</v>
      </c>
      <c r="R23" s="56">
        <f>SUM(R16:R22)</f>
        <v>96701134.125047624</v>
      </c>
      <c r="AB23" s="40">
        <f t="shared" si="4"/>
        <v>21</v>
      </c>
      <c r="AC23" s="40" t="s">
        <v>127</v>
      </c>
      <c r="AD23" s="40" t="s">
        <v>182</v>
      </c>
      <c r="AE23" s="40" t="str">
        <f>IF(AC23=Charts!$G$20,hiddenPage!AB23,"")</f>
        <v/>
      </c>
      <c r="AF23" s="40" t="e">
        <f>SMALL($AE$3:$AE$27,ROWS($AE$3:AE23))</f>
        <v>#NUM!</v>
      </c>
    </row>
    <row r="24" spans="1:32" x14ac:dyDescent="0.3">
      <c r="A24" s="40">
        <f>Charts!T20</f>
        <v>0</v>
      </c>
      <c r="D24" s="40" t="str">
        <f>"Evolution of "&amp;A24&amp;" in the period "&amp;Data_Interim!L3&amp;" - "&amp;Data_Interim!P3</f>
        <v>Evolution of 0 in the period  - 2021</v>
      </c>
      <c r="AB24" s="40">
        <f t="shared" si="4"/>
        <v>22</v>
      </c>
      <c r="AC24" s="40" t="s">
        <v>127</v>
      </c>
      <c r="AD24" s="40" t="s">
        <v>183</v>
      </c>
      <c r="AE24" s="40" t="str">
        <f>IF(AC24=Charts!$G$20,hiddenPage!AB24,"")</f>
        <v/>
      </c>
      <c r="AF24" s="40" t="e">
        <f>SMALL($AE$3:$AE$27,ROWS($AE$3:AE24))</f>
        <v>#NUM!</v>
      </c>
    </row>
    <row r="25" spans="1:32" x14ac:dyDescent="0.3">
      <c r="A25" s="40">
        <f>Data_Interim!L3</f>
        <v>0</v>
      </c>
      <c r="B25" s="45" t="e">
        <f>SUMIF('1.FinancialPosition'!$B:$B,hiddenPage!$A$24,'1.FinancialPosition'!#REF!)</f>
        <v>#REF!</v>
      </c>
      <c r="C25" s="45"/>
      <c r="D25" s="46"/>
      <c r="E25" s="45"/>
      <c r="F25" s="45"/>
      <c r="G25" s="45"/>
      <c r="AB25" s="40">
        <f t="shared" si="4"/>
        <v>23</v>
      </c>
      <c r="AC25" s="40" t="s">
        <v>128</v>
      </c>
      <c r="AD25" s="40" t="s">
        <v>227</v>
      </c>
      <c r="AE25" s="40" t="str">
        <f>IF(AC25=Charts!$G$20,hiddenPage!AB25,"")</f>
        <v/>
      </c>
      <c r="AF25" s="40" t="e">
        <f>SMALL($AE$3:$AE$27,ROWS($AE$3:AE25))</f>
        <v>#NUM!</v>
      </c>
    </row>
    <row r="26" spans="1:32" x14ac:dyDescent="0.3">
      <c r="A26" s="40">
        <f t="shared" ref="A26:A29" si="14">A25+1</f>
        <v>1</v>
      </c>
      <c r="B26" s="45" t="e">
        <f>SUMIF('1.FinancialPosition'!$B:$B,hiddenPage!$A$24,'1.FinancialPosition'!#REF!)</f>
        <v>#REF!</v>
      </c>
      <c r="C26" s="45"/>
      <c r="D26" s="46"/>
      <c r="E26" s="45"/>
      <c r="F26" s="45"/>
      <c r="G26" s="45"/>
      <c r="AB26" s="40">
        <f t="shared" si="4"/>
        <v>24</v>
      </c>
      <c r="AC26" s="40" t="s">
        <v>128</v>
      </c>
      <c r="AD26" s="40" t="s">
        <v>178</v>
      </c>
      <c r="AE26" s="40" t="str">
        <f>IF(AC26=Charts!$G$20,hiddenPage!AB26,"")</f>
        <v/>
      </c>
      <c r="AF26" s="40" t="e">
        <f>SMALL($AE$3:$AE$27,ROWS($AE$3:AE26))</f>
        <v>#NUM!</v>
      </c>
    </row>
    <row r="27" spans="1:32" x14ac:dyDescent="0.3">
      <c r="A27" s="40">
        <f t="shared" si="14"/>
        <v>2</v>
      </c>
      <c r="B27" s="45">
        <f>SUMIF('1.FinancialPosition'!$B:$B,hiddenPage!$A$24,'1.FinancialPosition'!C:C)</f>
        <v>0</v>
      </c>
      <c r="C27" s="45"/>
      <c r="D27" s="46"/>
      <c r="E27" s="45"/>
      <c r="F27" s="45"/>
      <c r="G27" s="45"/>
      <c r="AB27" s="40">
        <f t="shared" si="4"/>
        <v>25</v>
      </c>
      <c r="AC27" s="40" t="s">
        <v>128</v>
      </c>
      <c r="AD27" s="40" t="s">
        <v>180</v>
      </c>
      <c r="AE27" s="40" t="str">
        <f>IF(AC27=Charts!$G$20,hiddenPage!AB27,"")</f>
        <v/>
      </c>
      <c r="AF27" s="40" t="e">
        <f>SMALL($AE$3:$AE$27,ROWS($AE$3:AE27))</f>
        <v>#NUM!</v>
      </c>
    </row>
    <row r="28" spans="1:32" x14ac:dyDescent="0.3">
      <c r="A28" s="40">
        <f t="shared" si="14"/>
        <v>3</v>
      </c>
      <c r="B28" s="45">
        <f>SUMIF('1.FinancialPosition'!$B:$B,hiddenPage!$A$24,'1.FinancialPosition'!D:D)</f>
        <v>0</v>
      </c>
      <c r="C28" s="45"/>
      <c r="D28" s="46"/>
      <c r="E28" s="45"/>
      <c r="F28" s="45"/>
      <c r="G28" s="45"/>
    </row>
    <row r="29" spans="1:32" x14ac:dyDescent="0.3">
      <c r="A29" s="40">
        <f t="shared" si="14"/>
        <v>4</v>
      </c>
      <c r="B29" s="45">
        <f>SUMIF('1.FinancialPosition'!$B:$B,hiddenPage!$A$24,'1.FinancialPosition'!E:E)</f>
        <v>0</v>
      </c>
      <c r="C29" s="45"/>
      <c r="D29" s="46"/>
      <c r="E29" s="45"/>
      <c r="F29" s="45"/>
      <c r="G29" s="45"/>
    </row>
    <row r="31" spans="1:32" x14ac:dyDescent="0.3">
      <c r="B31" s="54" t="s">
        <v>132</v>
      </c>
      <c r="C31" s="54" t="s">
        <v>133</v>
      </c>
      <c r="D31" s="54" t="s">
        <v>134</v>
      </c>
      <c r="E31" s="54" t="s">
        <v>135</v>
      </c>
      <c r="F31" s="54" t="s">
        <v>131</v>
      </c>
      <c r="G31" s="54" t="s">
        <v>136</v>
      </c>
    </row>
    <row r="32" spans="1:32" x14ac:dyDescent="0.3">
      <c r="A32" s="55"/>
      <c r="F32" s="56" t="e">
        <f>B25</f>
        <v>#REF!</v>
      </c>
      <c r="G32" s="56" t="e">
        <f>F32</f>
        <v>#REF!</v>
      </c>
    </row>
    <row r="33" spans="1:8" x14ac:dyDescent="0.3">
      <c r="A33" s="173" t="str">
        <f>I33&amp;A26</f>
        <v>1</v>
      </c>
      <c r="B33" s="47" t="e">
        <f>SUM(B32,E32:F32)-D33</f>
        <v>#REF!</v>
      </c>
      <c r="C33" s="47"/>
      <c r="D33" s="47" t="e">
        <f>IF(G33&lt;0,-G33,0)</f>
        <v>#REF!</v>
      </c>
      <c r="E33" s="47" t="e">
        <f>IF(G33&gt;0,G33,0)</f>
        <v>#REF!</v>
      </c>
      <c r="G33" s="56" t="e">
        <f>B26-B25</f>
        <v>#REF!</v>
      </c>
    </row>
    <row r="34" spans="1:8" x14ac:dyDescent="0.3">
      <c r="A34" s="173" t="str">
        <f t="shared" ref="A34:A36" si="15">I34&amp;A27</f>
        <v>2</v>
      </c>
      <c r="B34" s="47" t="e">
        <f t="shared" ref="B34:B36" si="16">SUM(B33,E33:F33)-D34</f>
        <v>#REF!</v>
      </c>
      <c r="C34" s="47"/>
      <c r="D34" s="47" t="e">
        <f t="shared" ref="D34:D36" si="17">IF(G34&lt;0,-G34,0)</f>
        <v>#REF!</v>
      </c>
      <c r="E34" s="47" t="e">
        <f t="shared" ref="E34:E36" si="18">IF(G34&gt;0,G34,0)</f>
        <v>#REF!</v>
      </c>
      <c r="G34" s="56" t="e">
        <f t="shared" ref="G34:G36" si="19">B27-B26</f>
        <v>#REF!</v>
      </c>
    </row>
    <row r="35" spans="1:8" x14ac:dyDescent="0.3">
      <c r="A35" s="173" t="str">
        <f t="shared" si="15"/>
        <v>3</v>
      </c>
      <c r="B35" s="47" t="e">
        <f t="shared" si="16"/>
        <v>#REF!</v>
      </c>
      <c r="C35" s="47"/>
      <c r="D35" s="47">
        <f t="shared" si="17"/>
        <v>0</v>
      </c>
      <c r="E35" s="47">
        <f t="shared" si="18"/>
        <v>0</v>
      </c>
      <c r="G35" s="56">
        <f t="shared" si="19"/>
        <v>0</v>
      </c>
    </row>
    <row r="36" spans="1:8" x14ac:dyDescent="0.3">
      <c r="A36" s="173" t="str">
        <f t="shared" si="15"/>
        <v>4</v>
      </c>
      <c r="B36" s="47" t="e">
        <f t="shared" si="16"/>
        <v>#REF!</v>
      </c>
      <c r="C36" s="47"/>
      <c r="D36" s="47">
        <f t="shared" si="17"/>
        <v>0</v>
      </c>
      <c r="E36" s="47">
        <f t="shared" si="18"/>
        <v>0</v>
      </c>
      <c r="G36" s="56">
        <f t="shared" si="19"/>
        <v>0</v>
      </c>
    </row>
    <row r="37" spans="1:8" x14ac:dyDescent="0.3">
      <c r="A37" s="41"/>
      <c r="B37" s="47"/>
      <c r="C37" s="47" t="e">
        <f t="shared" ref="C37" si="20">SUM(B36,E36:F36)-D37</f>
        <v>#REF!</v>
      </c>
      <c r="D37" s="47"/>
      <c r="E37" s="47"/>
      <c r="G37" s="56"/>
    </row>
    <row r="41" spans="1:8" x14ac:dyDescent="0.3">
      <c r="A41" s="43" t="str">
        <f>A10</f>
        <v>Total liabilities</v>
      </c>
      <c r="D41" s="99" t="e">
        <f>D10/D$12</f>
        <v>#REF!</v>
      </c>
      <c r="E41" s="99" t="e">
        <f t="shared" ref="E41:H41" si="21">E10/E$12</f>
        <v>#REF!</v>
      </c>
      <c r="F41" s="99">
        <f t="shared" si="21"/>
        <v>0.53824521694327121</v>
      </c>
      <c r="G41" s="99">
        <f t="shared" si="21"/>
        <v>0.51058203583080286</v>
      </c>
      <c r="H41" s="99">
        <f t="shared" si="21"/>
        <v>0.52475071486089331</v>
      </c>
    </row>
    <row r="42" spans="1:8" x14ac:dyDescent="0.3">
      <c r="A42" s="43" t="str">
        <f>A11</f>
        <v>Total Equity</v>
      </c>
      <c r="D42" s="99" t="e">
        <f>D11/D$12</f>
        <v>#REF!</v>
      </c>
      <c r="E42" s="99" t="e">
        <f t="shared" ref="E42:H42" si="22">E11/E$12</f>
        <v>#REF!</v>
      </c>
      <c r="F42" s="99">
        <f t="shared" si="22"/>
        <v>0.46175478305672885</v>
      </c>
      <c r="G42" s="99">
        <f t="shared" si="22"/>
        <v>0.48941796416919703</v>
      </c>
      <c r="H42" s="99">
        <f t="shared" si="22"/>
        <v>0.47524928513910664</v>
      </c>
    </row>
    <row r="45" spans="1:8" x14ac:dyDescent="0.3">
      <c r="F45" s="40">
        <f>F9</f>
        <v>2019</v>
      </c>
      <c r="G45" s="40">
        <f t="shared" ref="G45:H45" si="23">G9</f>
        <v>2020</v>
      </c>
      <c r="H45" s="40">
        <f t="shared" si="23"/>
        <v>2021</v>
      </c>
    </row>
    <row r="46" spans="1:8" x14ac:dyDescent="0.3">
      <c r="A46" s="42" t="str">
        <f>INDEX(X:X,MATCH(Charts!G20,Y:Y,0))</f>
        <v>Total current assets</v>
      </c>
      <c r="B46" s="62"/>
      <c r="C46" s="62"/>
      <c r="D46" s="62" t="e">
        <f>SUMIF('1.FinancialPosition'!$B:$B,$A46,'1.FinancialPosition'!#REF!)</f>
        <v>#REF!</v>
      </c>
      <c r="E46" s="62" t="e">
        <f>SUMIF('1.FinancialPosition'!$B:$B,$A46,'1.FinancialPosition'!#REF!)</f>
        <v>#REF!</v>
      </c>
      <c r="F46" s="62">
        <f>SUMIF('1.FinancialPosition'!$B:$B,$A46,'1.FinancialPosition'!C:C)</f>
        <v>96701134.125047624</v>
      </c>
      <c r="G46" s="62">
        <f>SUMIF('1.FinancialPosition'!$B:$B,$A46,'1.FinancialPosition'!D:D)</f>
        <v>103026397.10403591</v>
      </c>
      <c r="H46" s="62">
        <f>SUMIF('1.FinancialPosition'!$B:$B,$A46,'1.FinancialPosition'!E:E)</f>
        <v>126480541.12704095</v>
      </c>
    </row>
    <row r="48" spans="1:8" x14ac:dyDescent="0.3">
      <c r="A48" s="40" t="str">
        <f>"The evolution of the item "&amp;Charts!G20&amp;" during the period 2019 - 2021"</f>
        <v>The evolution of the item Current assets during the period 2019 - 2021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J25"/>
  <sheetViews>
    <sheetView showGridLines="0" zoomScale="90" zoomScaleNormal="90" workbookViewId="0">
      <selection activeCell="D23" sqref="D23"/>
    </sheetView>
  </sheetViews>
  <sheetFormatPr defaultRowHeight="15" x14ac:dyDescent="0.3"/>
  <cols>
    <col min="1" max="1" width="6.44140625" customWidth="1"/>
    <col min="2" max="2" width="37.109375" customWidth="1"/>
    <col min="3" max="5" width="13.109375" bestFit="1" customWidth="1"/>
    <col min="6" max="6" width="2.88671875" style="52" bestFit="1" customWidth="1"/>
    <col min="7" max="7" width="13.6640625" bestFit="1" customWidth="1"/>
    <col min="8" max="8" width="7.5546875" bestFit="1" customWidth="1"/>
  </cols>
  <sheetData>
    <row r="2" spans="2:8" x14ac:dyDescent="0.3">
      <c r="B2" s="188" t="s">
        <v>265</v>
      </c>
    </row>
    <row r="3" spans="2:8" ht="15.6" thickBot="1" x14ac:dyDescent="0.35"/>
    <row r="4" spans="2:8" thickBot="1" x14ac:dyDescent="0.35">
      <c r="B4" s="159" t="s">
        <v>111</v>
      </c>
      <c r="C4" s="160">
        <f>Data_Interim!N3</f>
        <v>2019</v>
      </c>
      <c r="D4" s="160">
        <f>Data_Interim!O3</f>
        <v>2020</v>
      </c>
      <c r="E4" s="160">
        <f>Data_Interim!P3</f>
        <v>2021</v>
      </c>
      <c r="F4" s="203" t="str">
        <f>CONCATENATE(E4," vs. ",D4)</f>
        <v>2021 vs. 2020</v>
      </c>
      <c r="G4" s="203"/>
      <c r="H4" s="203"/>
    </row>
    <row r="5" spans="2:8" ht="14.4" x14ac:dyDescent="0.3">
      <c r="B5" s="161" t="s">
        <v>143</v>
      </c>
      <c r="C5" s="13">
        <f>'3.Profit or loss statement'!C4</f>
        <v>187560270.35068965</v>
      </c>
      <c r="D5" s="13">
        <f>'3.Profit or loss statement'!D4</f>
        <v>193429377.01944542</v>
      </c>
      <c r="E5" s="162">
        <f>'3.Profit or loss statement'!E4</f>
        <v>247006542.93567088</v>
      </c>
      <c r="F5" s="9" t="str">
        <f>IF(E5+D5&gt;0,IF(E5&gt;D5,"▲",IF(E5=D5,"▬","▼")),IF(E5&gt;D5,"▼",IF(E5=D5,"▬","▲")))</f>
        <v>▲</v>
      </c>
      <c r="G5" s="13">
        <f>E5-D5</f>
        <v>53577165.916225463</v>
      </c>
      <c r="H5" s="171">
        <f>E5/D5-1</f>
        <v>0.27698567167922672</v>
      </c>
    </row>
    <row r="6" spans="2:8" ht="14.4" x14ac:dyDescent="0.3">
      <c r="B6" s="161" t="s">
        <v>48</v>
      </c>
      <c r="C6" s="13">
        <f>'3.Profit or loss statement'!C5</f>
        <v>4121692.34</v>
      </c>
      <c r="D6" s="13">
        <f>'3.Profit or loss statement'!D5</f>
        <v>3648286.5999999996</v>
      </c>
      <c r="E6" s="162">
        <f>'3.Profit or loss statement'!E5</f>
        <v>3976151.5</v>
      </c>
      <c r="F6" s="9" t="str">
        <f t="shared" ref="F6:F17" si="0">IF(E6+D6&gt;0,IF(E6&gt;D6,"▲",IF(E6=D6,"▬","▼")),IF(E6&gt;D6,"▼",IF(E6=D6,"▬","▲")))</f>
        <v>▲</v>
      </c>
      <c r="G6" s="13">
        <f t="shared" ref="G6:G15" si="1">E6-D6</f>
        <v>327864.90000000037</v>
      </c>
      <c r="H6" s="171">
        <f t="shared" ref="H6:H15" si="2">E6/D6-1</f>
        <v>8.9868186342597189E-2</v>
      </c>
    </row>
    <row r="7" spans="2:8" ht="28.8" x14ac:dyDescent="0.3">
      <c r="B7" s="181" t="s">
        <v>261</v>
      </c>
      <c r="C7" s="179">
        <f>'3.Profit or loss statement'!C15</f>
        <v>1432865.6837778185</v>
      </c>
      <c r="D7" s="179">
        <f>'3.Profit or loss statement'!D15</f>
        <v>-1244002.6943192671</v>
      </c>
      <c r="E7" s="178">
        <f>'3.Profit or loss statement'!E15</f>
        <v>2857338.5149612864</v>
      </c>
      <c r="F7" s="180" t="str">
        <f t="shared" si="0"/>
        <v>▲</v>
      </c>
      <c r="G7" s="179">
        <f t="shared" ref="G7" si="3">E7-D7</f>
        <v>4101341.2092805533</v>
      </c>
      <c r="H7" s="168" t="s">
        <v>262</v>
      </c>
    </row>
    <row r="8" spans="2:8" thickBot="1" x14ac:dyDescent="0.35">
      <c r="B8" s="161" t="s">
        <v>64</v>
      </c>
      <c r="C8" s="15">
        <f>'EBIT-EBITDA'!C10</f>
        <v>11729622.01236804</v>
      </c>
      <c r="D8" s="15">
        <f>'EBIT-EBITDA'!D10</f>
        <v>13002354.583569547</v>
      </c>
      <c r="E8" s="162">
        <f>'EBIT-EBITDA'!E10</f>
        <v>16019992.153577214</v>
      </c>
      <c r="F8" s="9" t="str">
        <f t="shared" si="0"/>
        <v>▲</v>
      </c>
      <c r="G8" s="13">
        <f t="shared" si="1"/>
        <v>3017637.5700076669</v>
      </c>
      <c r="H8" s="171">
        <f t="shared" si="2"/>
        <v>0.23208393146122241</v>
      </c>
    </row>
    <row r="9" spans="2:8" thickBot="1" x14ac:dyDescent="0.35">
      <c r="B9" s="163" t="s">
        <v>163</v>
      </c>
      <c r="C9" s="164">
        <f>SUMIFS(Data_Interim!N:N,Data_Interim!$B:$B,Snapshots!$B$9)</f>
        <v>9279549.0985902343</v>
      </c>
      <c r="D9" s="164">
        <f>SUMIFS(Data_Interim!O:O,Data_Interim!$B:$B,Snapshots!$B$9)</f>
        <v>15468410.007888829</v>
      </c>
      <c r="E9" s="165">
        <f>SUMIFS(Data_Interim!P:P,Data_Interim!$B:$B,Snapshots!$B$9)</f>
        <v>14103111.72861604</v>
      </c>
      <c r="F9" s="166" t="str">
        <f t="shared" si="0"/>
        <v>▼</v>
      </c>
      <c r="G9" s="167">
        <f t="shared" si="1"/>
        <v>-1365298.2792727891</v>
      </c>
      <c r="H9" s="186">
        <f t="shared" si="2"/>
        <v>-8.8263646915002436E-2</v>
      </c>
    </row>
    <row r="10" spans="2:8" thickBot="1" x14ac:dyDescent="0.35">
      <c r="B10" s="161" t="s">
        <v>107</v>
      </c>
      <c r="C10" s="15">
        <f>'3.Profit or loss statement'!C18</f>
        <v>565059.93236804195</v>
      </c>
      <c r="D10" s="15">
        <f>'3.Profit or loss statement'!D18</f>
        <v>2531393.6035695476</v>
      </c>
      <c r="E10" s="162">
        <f>'3.Profit or loss statement'!E18</f>
        <v>5676182.4735772144</v>
      </c>
      <c r="F10" s="9" t="str">
        <f>IF(E10+D10&gt;0,IF(E10&gt;D10,"▲",IF(E10=D10,"▬","▼")),IF(E10&gt;D10,"▼",IF(E10=D10,"▬","▲")))</f>
        <v>▲</v>
      </c>
      <c r="G10" s="13">
        <f t="shared" si="1"/>
        <v>3144788.8700076668</v>
      </c>
      <c r="H10" s="171">
        <f t="shared" si="2"/>
        <v>1.2423152470533081</v>
      </c>
    </row>
    <row r="11" spans="2:8" ht="43.8" thickBot="1" x14ac:dyDescent="0.35">
      <c r="B11" s="184" t="s">
        <v>263</v>
      </c>
      <c r="C11" s="182">
        <f t="shared" ref="C11:E11" si="4">C10-C7</f>
        <v>-867805.75140977651</v>
      </c>
      <c r="D11" s="182">
        <f t="shared" si="4"/>
        <v>3775396.2978888145</v>
      </c>
      <c r="E11" s="183">
        <f t="shared" si="4"/>
        <v>2818843.958615928</v>
      </c>
      <c r="F11" s="185" t="str">
        <f>IF(E11+D11&gt;0,IF(E11&gt;D11,"▲",IF(E11=D11,"▬","▼")),IF(E11&gt;D11,"▼",IF(E11=D11,"▬","▲")))</f>
        <v>▼</v>
      </c>
      <c r="G11" s="182">
        <f t="shared" si="1"/>
        <v>-956552.33927288651</v>
      </c>
      <c r="H11" s="187">
        <f t="shared" si="2"/>
        <v>-0.25336475002843717</v>
      </c>
    </row>
    <row r="12" spans="2:8" ht="14.4" x14ac:dyDescent="0.3">
      <c r="B12" s="161" t="s">
        <v>108</v>
      </c>
      <c r="C12" s="15">
        <f>'1.FinancialPosition'!C11</f>
        <v>210209052.78010061</v>
      </c>
      <c r="D12" s="15">
        <f>'1.FinancialPosition'!D11</f>
        <v>187149147.89116403</v>
      </c>
      <c r="E12" s="162">
        <f>'1.FinancialPosition'!E11</f>
        <v>173961193.30432338</v>
      </c>
      <c r="F12" s="9" t="str">
        <f t="shared" si="0"/>
        <v>▼</v>
      </c>
      <c r="G12" s="13">
        <f t="shared" si="1"/>
        <v>-13187954.586840659</v>
      </c>
      <c r="H12" s="171">
        <f t="shared" si="2"/>
        <v>-7.0467617595085574E-2</v>
      </c>
    </row>
    <row r="13" spans="2:8" ht="14.4" x14ac:dyDescent="0.3">
      <c r="B13" s="161" t="s">
        <v>109</v>
      </c>
      <c r="C13" s="15">
        <f>'1.FinancialPosition'!C18</f>
        <v>96701134.125047624</v>
      </c>
      <c r="D13" s="15">
        <f>'1.FinancialPosition'!D18</f>
        <v>103026397.10403591</v>
      </c>
      <c r="E13" s="162">
        <f>'1.FinancialPosition'!E18</f>
        <v>126480541.12704095</v>
      </c>
      <c r="F13" s="9" t="str">
        <f t="shared" si="0"/>
        <v>▲</v>
      </c>
      <c r="G13" s="13">
        <f t="shared" si="1"/>
        <v>23454144.023005038</v>
      </c>
      <c r="H13" s="171">
        <f t="shared" si="2"/>
        <v>0.22765179296060478</v>
      </c>
    </row>
    <row r="14" spans="2:8" ht="14.4" x14ac:dyDescent="0.3">
      <c r="B14" s="161" t="s">
        <v>27</v>
      </c>
      <c r="C14" s="15">
        <f>'1.FinancialPosition'!C26</f>
        <v>141717247.34377953</v>
      </c>
      <c r="D14" s="15">
        <f>'1.FinancialPosition'!D26</f>
        <v>142017124.61826012</v>
      </c>
      <c r="E14" s="162">
        <f>'1.FinancialPosition'!E26</f>
        <v>142784719.07606646</v>
      </c>
      <c r="F14" s="9" t="str">
        <f t="shared" si="0"/>
        <v>▲</v>
      </c>
      <c r="G14" s="13">
        <f t="shared" si="1"/>
        <v>767594.4578063488</v>
      </c>
      <c r="H14" s="171">
        <f t="shared" si="2"/>
        <v>5.4049429593059362E-3</v>
      </c>
    </row>
    <row r="15" spans="2:8" ht="14.4" x14ac:dyDescent="0.3">
      <c r="B15" s="161" t="s">
        <v>110</v>
      </c>
      <c r="C15" s="15">
        <f>'1.FinancialPosition'!C36</f>
        <v>165192940.79902285</v>
      </c>
      <c r="D15" s="15">
        <f>'1.FinancialPosition'!D36</f>
        <v>148158420.65282285</v>
      </c>
      <c r="E15" s="162">
        <f>'1.FinancialPosition'!E36</f>
        <v>157657014.43284985</v>
      </c>
      <c r="F15" s="9" t="str">
        <f t="shared" si="0"/>
        <v>▲</v>
      </c>
      <c r="G15" s="13">
        <f t="shared" si="1"/>
        <v>9498593.7800270021</v>
      </c>
      <c r="H15" s="171">
        <f t="shared" si="2"/>
        <v>6.4111062592148604E-2</v>
      </c>
    </row>
    <row r="16" spans="2:8" ht="14.4" x14ac:dyDescent="0.3">
      <c r="B16" s="161" t="s">
        <v>161</v>
      </c>
      <c r="C16" s="168">
        <f t="shared" ref="C16:E16" si="5">C15/(C12+C13)</f>
        <v>0.53824521911381307</v>
      </c>
      <c r="D16" s="168">
        <f t="shared" si="5"/>
        <v>0.51058203631623644</v>
      </c>
      <c r="E16" s="169">
        <f t="shared" si="5"/>
        <v>0.5247507132497482</v>
      </c>
      <c r="F16" s="9" t="str">
        <f t="shared" si="0"/>
        <v>▲</v>
      </c>
      <c r="G16" s="170">
        <f>E16-D16</f>
        <v>1.4168676933511759E-2</v>
      </c>
      <c r="H16" s="171">
        <f>E16/D16-1</f>
        <v>2.7750049797553356E-2</v>
      </c>
    </row>
    <row r="17" spans="2:10" ht="14.4" x14ac:dyDescent="0.3">
      <c r="B17" s="161" t="s">
        <v>162</v>
      </c>
      <c r="C17" s="168">
        <f>'1.FinancialPosition'!C18/'1.FinancialPosition'!C35</f>
        <v>0.94196917979136607</v>
      </c>
      <c r="D17" s="168">
        <f>'1.FinancialPosition'!D18/'1.FinancialPosition'!D35</f>
        <v>0.99915295583894481</v>
      </c>
      <c r="E17" s="169">
        <f>'1.FinancialPosition'!E18/'1.FinancialPosition'!E35</f>
        <v>1.0503562670312456</v>
      </c>
      <c r="F17" s="9" t="str">
        <f t="shared" si="0"/>
        <v>▲</v>
      </c>
      <c r="G17" s="170">
        <f t="shared" ref="G17" si="6">E17-D17</f>
        <v>5.1203311192300816E-2</v>
      </c>
      <c r="H17" s="171">
        <f t="shared" ref="H17" si="7">E17/D17-1</f>
        <v>5.1246719426764509E-2</v>
      </c>
    </row>
    <row r="19" spans="2:10" ht="14.4" x14ac:dyDescent="0.3">
      <c r="B19" s="204" t="s">
        <v>165</v>
      </c>
      <c r="C19" s="204"/>
      <c r="D19" s="204"/>
      <c r="E19" s="204"/>
      <c r="F19" s="204"/>
      <c r="G19" s="204"/>
      <c r="H19" s="204"/>
      <c r="I19" s="54"/>
      <c r="J19" s="98">
        <f>E5/C5-1</f>
        <v>0.31694490775595452</v>
      </c>
    </row>
    <row r="20" spans="2:10" ht="14.4" x14ac:dyDescent="0.3">
      <c r="B20" s="204"/>
      <c r="C20" s="204"/>
      <c r="D20" s="204"/>
      <c r="E20" s="204"/>
      <c r="F20" s="204"/>
      <c r="G20" s="204"/>
      <c r="H20" s="204"/>
      <c r="I20" s="54"/>
    </row>
    <row r="21" spans="2:10" ht="14.4" x14ac:dyDescent="0.3">
      <c r="B21" s="204" t="s">
        <v>164</v>
      </c>
      <c r="C21" s="204"/>
      <c r="D21" s="204"/>
      <c r="E21" s="204"/>
      <c r="F21" s="204"/>
      <c r="G21" s="204"/>
      <c r="H21" s="204"/>
      <c r="I21" s="204"/>
    </row>
    <row r="22" spans="2:10" ht="14.4" x14ac:dyDescent="0.3">
      <c r="B22" s="204"/>
      <c r="C22" s="204"/>
      <c r="D22" s="204"/>
      <c r="E22" s="204"/>
      <c r="F22" s="204"/>
      <c r="G22" s="204"/>
      <c r="H22" s="204"/>
      <c r="I22" s="204"/>
    </row>
    <row r="24" spans="2:10" x14ac:dyDescent="0.3">
      <c r="E24" s="101"/>
    </row>
    <row r="25" spans="2:10" x14ac:dyDescent="0.3">
      <c r="E25" s="102"/>
    </row>
  </sheetData>
  <mergeCells count="3">
    <mergeCell ref="F4:H4"/>
    <mergeCell ref="B21:I22"/>
    <mergeCell ref="B19:H20"/>
  </mergeCells>
  <conditionalFormatting sqref="F5:F8 F10 F12:F14">
    <cfRule type="expression" dxfId="165" priority="19">
      <formula>E5=D5</formula>
    </cfRule>
    <cfRule type="expression" dxfId="164" priority="20">
      <formula>E5&lt;D5</formula>
    </cfRule>
    <cfRule type="expression" dxfId="163" priority="21">
      <formula>E5&gt;D5</formula>
    </cfRule>
  </conditionalFormatting>
  <conditionalFormatting sqref="F17">
    <cfRule type="expression" dxfId="162" priority="16">
      <formula>E17=D17</formula>
    </cfRule>
    <cfRule type="expression" dxfId="161" priority="17">
      <formula>E17&lt;D17</formula>
    </cfRule>
    <cfRule type="expression" dxfId="160" priority="18">
      <formula>E17&gt;D17</formula>
    </cfRule>
  </conditionalFormatting>
  <conditionalFormatting sqref="F16">
    <cfRule type="expression" dxfId="159" priority="13">
      <formula>E16=D16</formula>
    </cfRule>
    <cfRule type="expression" dxfId="158" priority="14">
      <formula>E16&gt;D16</formula>
    </cfRule>
    <cfRule type="expression" dxfId="157" priority="15">
      <formula>E1&lt;D16</formula>
    </cfRule>
  </conditionalFormatting>
  <conditionalFormatting sqref="F9">
    <cfRule type="expression" dxfId="156" priority="10">
      <formula>E9=D9</formula>
    </cfRule>
    <cfRule type="expression" dxfId="155" priority="11">
      <formula>E9&lt;D9</formula>
    </cfRule>
    <cfRule type="expression" dxfId="154" priority="12">
      <formula>E9&gt;D9</formula>
    </cfRule>
  </conditionalFormatting>
  <conditionalFormatting sqref="F15">
    <cfRule type="expression" dxfId="153" priority="85">
      <formula>E15=D15</formula>
    </cfRule>
    <cfRule type="expression" dxfId="152" priority="86">
      <formula>E15&gt;D15</formula>
    </cfRule>
    <cfRule type="expression" dxfId="151" priority="87">
      <formula>#REF!&lt;D15</formula>
    </cfRule>
  </conditionalFormatting>
  <conditionalFormatting sqref="F11">
    <cfRule type="expression" dxfId="150" priority="1">
      <formula>E11=D11</formula>
    </cfRule>
    <cfRule type="expression" dxfId="149" priority="2">
      <formula>E11&lt;D11</formula>
    </cfRule>
    <cfRule type="expression" dxfId="148" priority="3">
      <formula>E11&gt;D11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9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L41" sqref="L41"/>
    </sheetView>
  </sheetViews>
  <sheetFormatPr defaultColWidth="9.109375" defaultRowHeight="14.4" x14ac:dyDescent="0.3"/>
  <cols>
    <col min="1" max="1" width="53.33203125" style="1" hidden="1" customWidth="1"/>
    <col min="2" max="2" width="55.6640625" style="1" customWidth="1"/>
    <col min="3" max="3" width="13.109375" style="1" bestFit="1" customWidth="1"/>
    <col min="4" max="5" width="12.88671875" style="1" customWidth="1"/>
    <col min="6" max="6" width="10.5546875" style="1" bestFit="1" customWidth="1"/>
    <col min="7" max="7" width="11.109375" style="1" bestFit="1" customWidth="1"/>
    <col min="8" max="8" width="3" style="1" bestFit="1" customWidth="1"/>
    <col min="9" max="9" width="10.109375" style="1" bestFit="1" customWidth="1"/>
    <col min="10" max="10" width="9.109375" style="1"/>
    <col min="11" max="11" width="13.6640625" style="1" bestFit="1" customWidth="1"/>
    <col min="12" max="16384" width="9.109375" style="1"/>
  </cols>
  <sheetData>
    <row r="1" spans="1:9" x14ac:dyDescent="0.3">
      <c r="B1" s="188" t="s">
        <v>277</v>
      </c>
    </row>
    <row r="2" spans="1:9" ht="15" thickBot="1" x14ac:dyDescent="0.35"/>
    <row r="3" spans="1:9" ht="29.4" thickBot="1" x14ac:dyDescent="0.35">
      <c r="A3" s="29" t="s">
        <v>0</v>
      </c>
      <c r="B3" s="157" t="s">
        <v>0</v>
      </c>
      <c r="C3" s="177">
        <v>43738</v>
      </c>
      <c r="D3" s="177">
        <v>44104</v>
      </c>
      <c r="E3" s="177">
        <v>44469</v>
      </c>
      <c r="F3" s="158" t="str">
        <f>"In total "&amp;Data_Interim!P3</f>
        <v>In total 2021</v>
      </c>
      <c r="G3" s="205" t="str">
        <f>CONCATENATE(Data_Interim!P3," vs. ",Data_Interim!O3)</f>
        <v>2021 vs. 2020</v>
      </c>
      <c r="H3" s="205"/>
      <c r="I3" s="205"/>
    </row>
    <row r="4" spans="1:9" x14ac:dyDescent="0.3">
      <c r="A4" s="2" t="s">
        <v>1</v>
      </c>
      <c r="B4" s="2" t="s">
        <v>2</v>
      </c>
      <c r="C4" s="2">
        <f>SUMIF(Data_Interim!$C:$C,$B4,Data_Interim!N:N)</f>
        <v>161980426.03363431</v>
      </c>
      <c r="D4" s="2">
        <f>SUMIF(Data_Interim!$C:$C,$B4,Data_Interim!O:O)</f>
        <v>147193785.50263861</v>
      </c>
      <c r="E4" s="153">
        <f>SUMIF(Data_Interim!$C:$C,$B4,Data_Interim!P:P)</f>
        <v>135832552.07783344</v>
      </c>
      <c r="F4" s="57">
        <f>E4/$E$19</f>
        <v>0.45210946586671463</v>
      </c>
      <c r="G4" s="58">
        <f>E4-D4</f>
        <v>-11361233.424805164</v>
      </c>
      <c r="H4" s="57" t="str">
        <f>IF(E4&gt;D4,"▲",IF(E4=D4,"▬","▼"))</f>
        <v>▼</v>
      </c>
      <c r="I4" s="57">
        <f>IF(ISERROR(E4/D4-100%),"",E4/D4-100%)</f>
        <v>-7.7185550911736733E-2</v>
      </c>
    </row>
    <row r="5" spans="1:9" x14ac:dyDescent="0.3">
      <c r="A5" s="3" t="s">
        <v>3</v>
      </c>
      <c r="B5" s="3" t="s">
        <v>4</v>
      </c>
      <c r="C5" s="2">
        <f>SUMIF(Data_Interim!$C:$C,$B5,Data_Interim!N:N)</f>
        <v>18033515</v>
      </c>
      <c r="D5" s="2">
        <f>SUMIF(Data_Interim!$C:$C,$B5,Data_Interim!O:O)</f>
        <v>13425346</v>
      </c>
      <c r="E5" s="153">
        <f>SUMIF(Data_Interim!$C:$C,$B5,Data_Interim!P:P)</f>
        <v>10087266</v>
      </c>
      <c r="F5" s="57">
        <f t="shared" ref="F5:F10" si="0">E5/$E$19</f>
        <v>3.3574782874595699E-2</v>
      </c>
      <c r="G5" s="58">
        <f t="shared" ref="G5:G10" si="1">E5-D5</f>
        <v>-3338080</v>
      </c>
      <c r="H5" s="57" t="str">
        <f t="shared" ref="H5:H10" si="2">IF(E5&gt;D5,"▲",IF(E5=D5,"▬","▼"))</f>
        <v>▼</v>
      </c>
      <c r="I5" s="57">
        <f t="shared" ref="I5:I10" si="3">IF(ISERROR(E5/D5-100%),"",E5/D5-100%)</f>
        <v>-0.24864014677908486</v>
      </c>
    </row>
    <row r="6" spans="1:9" x14ac:dyDescent="0.3">
      <c r="A6" s="3"/>
      <c r="B6" s="3" t="s">
        <v>200</v>
      </c>
      <c r="C6" s="2">
        <f>SUMIF(Data_Interim!$C:$C,$B6,Data_Interim!N:N)</f>
        <v>143460.56021036324</v>
      </c>
      <c r="D6" s="2">
        <f>SUMIF(Data_Interim!$C:$C,$B6,Data_Interim!O:O)</f>
        <v>143460.56021036324</v>
      </c>
      <c r="E6" s="153">
        <f>SUMIF(Data_Interim!$C:$C,$B6,Data_Interim!P:P)</f>
        <v>143460.56021036324</v>
      </c>
      <c r="F6" s="57">
        <f t="shared" si="0"/>
        <v>4.774987752014083E-4</v>
      </c>
      <c r="G6" s="58">
        <f t="shared" si="1"/>
        <v>0</v>
      </c>
      <c r="H6" s="57" t="str">
        <f t="shared" si="2"/>
        <v>▬</v>
      </c>
      <c r="I6" s="57">
        <f t="shared" si="3"/>
        <v>0</v>
      </c>
    </row>
    <row r="7" spans="1:9" x14ac:dyDescent="0.3">
      <c r="A7" s="3"/>
      <c r="B7" s="3" t="s">
        <v>166</v>
      </c>
      <c r="C7" s="2">
        <f>SUMIF(Data_Interim!$C:$C,$B7,Data_Interim!N:N)</f>
        <v>335787.42818181799</v>
      </c>
      <c r="D7" s="2">
        <f>SUMIF(Data_Interim!$C:$C,$B7,Data_Interim!O:O)</f>
        <v>399743.64545454574</v>
      </c>
      <c r="E7" s="153">
        <f>SUMIF(Data_Interim!$C:$C,$B7,Data_Interim!P:P)</f>
        <v>274009.84909090865</v>
      </c>
      <c r="F7" s="57">
        <f t="shared" si="0"/>
        <v>9.1202325672070045E-4</v>
      </c>
      <c r="G7" s="58">
        <f t="shared" si="1"/>
        <v>-125733.79636363708</v>
      </c>
      <c r="H7" s="57" t="str">
        <f t="shared" si="2"/>
        <v>▼</v>
      </c>
      <c r="I7" s="57">
        <f t="shared" si="3"/>
        <v>-0.31453607278901474</v>
      </c>
    </row>
    <row r="8" spans="1:9" x14ac:dyDescent="0.3">
      <c r="A8" s="3"/>
      <c r="B8" s="3" t="s">
        <v>203</v>
      </c>
      <c r="C8" s="2">
        <f>SUMIF(Data_Interim!$C:$C,$B8,Data_Interim!N:N)</f>
        <v>28535386.408074122</v>
      </c>
      <c r="D8" s="2">
        <f>SUMIF(Data_Interim!$C:$C,$B8,Data_Interim!O:O)</f>
        <v>25789838.282860488</v>
      </c>
      <c r="E8" s="153">
        <f>SUMIF(Data_Interim!$C:$C,$B8,Data_Interim!P:P)</f>
        <v>27326940.417188648</v>
      </c>
      <c r="F8" s="57">
        <f t="shared" si="0"/>
        <v>9.0955873586968217E-2</v>
      </c>
      <c r="G8" s="58">
        <f t="shared" si="1"/>
        <v>1537102.1343281604</v>
      </c>
      <c r="H8" s="57" t="str">
        <f t="shared" si="2"/>
        <v>▲</v>
      </c>
      <c r="I8" s="57">
        <f t="shared" si="3"/>
        <v>5.9601076884211901E-2</v>
      </c>
    </row>
    <row r="9" spans="1:9" x14ac:dyDescent="0.3">
      <c r="A9" s="3" t="s">
        <v>5</v>
      </c>
      <c r="B9" s="2" t="s">
        <v>167</v>
      </c>
      <c r="C9" s="2">
        <f>SUMIF(Data_Interim!$C:$C,$B9,Data_Interim!N:N)</f>
        <v>197373.90000000037</v>
      </c>
      <c r="D9" s="2">
        <f>SUMIF(Data_Interim!$C:$C,$B9,Data_Interim!O:O)</f>
        <v>196973.90000000037</v>
      </c>
      <c r="E9" s="153">
        <f>SUMIF(Data_Interim!$C:$C,$B9,Data_Interim!P:P)</f>
        <v>196964.40000000037</v>
      </c>
      <c r="F9" s="57">
        <f t="shared" si="0"/>
        <v>6.5558268851292607E-4</v>
      </c>
      <c r="G9" s="58">
        <f t="shared" si="1"/>
        <v>-9.5</v>
      </c>
      <c r="H9" s="57" t="str">
        <f t="shared" si="2"/>
        <v>▼</v>
      </c>
      <c r="I9" s="57">
        <f t="shared" si="3"/>
        <v>-4.822974008233949E-5</v>
      </c>
    </row>
    <row r="10" spans="1:9" ht="15" thickBot="1" x14ac:dyDescent="0.35">
      <c r="A10" s="2" t="s">
        <v>6</v>
      </c>
      <c r="B10" s="2" t="s">
        <v>206</v>
      </c>
      <c r="C10" s="2">
        <f>SUMIF(Data_Interim!$C:$C,$B10,Data_Interim!N:N)</f>
        <v>983103.45</v>
      </c>
      <c r="D10" s="2">
        <f>SUMIF(Data_Interim!$C:$C,$B10,Data_Interim!O:O)</f>
        <v>0</v>
      </c>
      <c r="E10" s="153">
        <f>SUMIF(Data_Interim!$C:$C,$B10,Data_Interim!P:P)</f>
        <v>100000</v>
      </c>
      <c r="F10" s="57">
        <f t="shared" si="0"/>
        <v>3.3284323893704895E-4</v>
      </c>
      <c r="G10" s="58">
        <f t="shared" si="1"/>
        <v>100000</v>
      </c>
      <c r="H10" s="57" t="str">
        <f t="shared" si="2"/>
        <v>▲</v>
      </c>
      <c r="I10" s="57" t="str">
        <f t="shared" si="3"/>
        <v/>
      </c>
    </row>
    <row r="11" spans="1:9" ht="15" thickBot="1" x14ac:dyDescent="0.35">
      <c r="A11" s="4" t="s">
        <v>7</v>
      </c>
      <c r="B11" s="4" t="s">
        <v>8</v>
      </c>
      <c r="C11" s="5">
        <f t="shared" ref="C11" si="4">SUM(C4:C10)</f>
        <v>210209052.78010061</v>
      </c>
      <c r="D11" s="5">
        <f t="shared" ref="D11" si="5">SUM(D4:D10)</f>
        <v>187149147.89116403</v>
      </c>
      <c r="E11" s="154">
        <f>SUM(E4:E10)</f>
        <v>173961193.30432338</v>
      </c>
      <c r="F11" s="6">
        <f t="shared" ref="F11:F23" si="6">E11/$E$19</f>
        <v>0.57901807028765073</v>
      </c>
      <c r="G11" s="5">
        <f t="shared" ref="G11:G37" si="7">E11-D11</f>
        <v>-13187954.586840659</v>
      </c>
      <c r="H11" s="39" t="str">
        <f t="shared" ref="H11:H37" si="8">IF(E11&gt;D11,"▲",IF(E11=D11,"▬","▼"))</f>
        <v>▼</v>
      </c>
      <c r="I11" s="6">
        <f t="shared" ref="I11:I37" si="9">IF(ISERROR(E11/D11-100%),"",E11/D11-100%)</f>
        <v>-7.0467617595085574E-2</v>
      </c>
    </row>
    <row r="12" spans="1:9" x14ac:dyDescent="0.3">
      <c r="A12" s="2" t="s">
        <v>9</v>
      </c>
      <c r="B12" s="2" t="s">
        <v>170</v>
      </c>
      <c r="C12" s="2">
        <f>SUMIF(Data_Interim!$C:$C,$B12,Data_Interim!N:N)</f>
        <v>38856987.388294674</v>
      </c>
      <c r="D12" s="2">
        <f>SUMIF(Data_Interim!$C:$C,$B12,Data_Interim!O:O)</f>
        <v>40886258.832292967</v>
      </c>
      <c r="E12" s="153">
        <f>SUMIF(Data_Interim!$C:$C,$B12,Data_Interim!P:P)</f>
        <v>55287694.80742798</v>
      </c>
      <c r="F12" s="57">
        <f t="shared" si="6"/>
        <v>0.18402135413067394</v>
      </c>
      <c r="G12" s="58">
        <f t="shared" si="7"/>
        <v>14401435.975135013</v>
      </c>
      <c r="H12" s="57" t="str">
        <f t="shared" si="8"/>
        <v>▲</v>
      </c>
      <c r="I12" s="57">
        <f t="shared" si="9"/>
        <v>0.3522316882600276</v>
      </c>
    </row>
    <row r="13" spans="1:9" x14ac:dyDescent="0.3">
      <c r="A13" s="2" t="s">
        <v>10</v>
      </c>
      <c r="B13" s="2" t="s">
        <v>171</v>
      </c>
      <c r="C13" s="2">
        <f>SUMIF(Data_Interim!$C:$C,$B13,Data_Interim!N:N)</f>
        <v>40852829.563005954</v>
      </c>
      <c r="D13" s="2">
        <f>SUMIF(Data_Interim!$C:$C,$B13,Data_Interim!O:O)</f>
        <v>40712438.085505947</v>
      </c>
      <c r="E13" s="153">
        <f>SUMIF(Data_Interim!$C:$C,$B13,Data_Interim!P:P)</f>
        <v>57105579.01550597</v>
      </c>
      <c r="F13" s="57">
        <f t="shared" si="6"/>
        <v>0.19007205880896583</v>
      </c>
      <c r="G13" s="58">
        <f t="shared" si="7"/>
        <v>16393140.930000022</v>
      </c>
      <c r="H13" s="57" t="str">
        <f t="shared" si="8"/>
        <v>▲</v>
      </c>
      <c r="I13" s="57">
        <f t="shared" si="9"/>
        <v>0.40265682186781526</v>
      </c>
    </row>
    <row r="14" spans="1:9" x14ac:dyDescent="0.3">
      <c r="A14" s="2" t="s">
        <v>11</v>
      </c>
      <c r="B14" s="2" t="s">
        <v>172</v>
      </c>
      <c r="C14" s="2">
        <f>SUMIF(Data_Interim!$C:$C,$B14,Data_Interim!N:N)</f>
        <v>179924.44</v>
      </c>
      <c r="D14" s="2">
        <f>SUMIF(Data_Interim!$C:$C,$B14,Data_Interim!O:O)</f>
        <v>1164576.8999999999</v>
      </c>
      <c r="E14" s="153">
        <f>SUMIF(Data_Interim!$C:$C,$B14,Data_Interim!P:P)</f>
        <v>181047.01000000007</v>
      </c>
      <c r="F14" s="57">
        <f t="shared" si="6"/>
        <v>6.0260273208268315E-4</v>
      </c>
      <c r="G14" s="58">
        <f t="shared" si="7"/>
        <v>-983529.8899999999</v>
      </c>
      <c r="H14" s="57" t="str">
        <f t="shared" si="8"/>
        <v>▼</v>
      </c>
      <c r="I14" s="57">
        <f t="shared" si="9"/>
        <v>-0.84453838127821346</v>
      </c>
    </row>
    <row r="15" spans="1:9" x14ac:dyDescent="0.3">
      <c r="A15" s="2" t="s">
        <v>12</v>
      </c>
      <c r="B15" s="7" t="s">
        <v>173</v>
      </c>
      <c r="C15" s="7">
        <f>SUMIF(Data_Interim!$C:$C,$B15,Data_Interim!N:N)</f>
        <v>1394932.48655</v>
      </c>
      <c r="D15" s="7">
        <f>SUMIF(Data_Interim!$C:$C,$B15,Data_Interim!O:O)</f>
        <v>1582111.2865500001</v>
      </c>
      <c r="E15" s="155">
        <f>SUMIF(Data_Interim!$C:$C,$B15,Data_Interim!P:P)</f>
        <v>1445542.23655</v>
      </c>
      <c r="F15" s="57">
        <f t="shared" si="6"/>
        <v>4.8113896003360778E-3</v>
      </c>
      <c r="G15" s="58">
        <f t="shared" si="7"/>
        <v>-136569.05000000005</v>
      </c>
      <c r="H15" s="57" t="str">
        <f t="shared" si="8"/>
        <v>▼</v>
      </c>
      <c r="I15" s="57">
        <f t="shared" si="9"/>
        <v>-8.6320760847238942E-2</v>
      </c>
    </row>
    <row r="16" spans="1:9" x14ac:dyDescent="0.3">
      <c r="A16" s="2" t="s">
        <v>13</v>
      </c>
      <c r="B16" s="2" t="s">
        <v>174</v>
      </c>
      <c r="C16" s="2">
        <f>SUMIF(Data_Interim!$C:$C,$B16,Data_Interim!N:N)</f>
        <v>5280199.2471970003</v>
      </c>
      <c r="D16" s="2">
        <f>SUMIF(Data_Interim!$C:$C,$B16,Data_Interim!O:O)</f>
        <v>16104330.419686999</v>
      </c>
      <c r="E16" s="153">
        <f>SUMIF(Data_Interim!$C:$C,$B16,Data_Interim!P:P)</f>
        <v>12389833.057557</v>
      </c>
      <c r="F16" s="57">
        <f t="shared" si="6"/>
        <v>4.1238721647665927E-2</v>
      </c>
      <c r="G16" s="58">
        <f t="shared" si="7"/>
        <v>-3714497.3621299993</v>
      </c>
      <c r="H16" s="57" t="str">
        <f t="shared" si="8"/>
        <v>▼</v>
      </c>
      <c r="I16" s="57">
        <f t="shared" si="9"/>
        <v>-0.23065208334207743</v>
      </c>
    </row>
    <row r="17" spans="1:9" ht="15" thickBot="1" x14ac:dyDescent="0.35">
      <c r="A17" s="2" t="s">
        <v>14</v>
      </c>
      <c r="B17" s="2" t="s">
        <v>169</v>
      </c>
      <c r="C17" s="2">
        <f>SUMIF(Data_Interim!$C:$C,$B17,Data_Interim!N:N)</f>
        <v>10136261</v>
      </c>
      <c r="D17" s="2">
        <f>SUMIF(Data_Interim!$C:$C,$B17,Data_Interim!O:O)</f>
        <v>2576681.58</v>
      </c>
      <c r="E17" s="153">
        <f>SUMIF(Data_Interim!$C:$C,$B17,Data_Interim!P:P)</f>
        <v>70845</v>
      </c>
      <c r="F17" s="57">
        <f t="shared" si="6"/>
        <v>2.3580279262495234E-4</v>
      </c>
      <c r="G17" s="58">
        <f t="shared" si="7"/>
        <v>-2505836.58</v>
      </c>
      <c r="H17" s="57" t="str">
        <f t="shared" si="8"/>
        <v>▼</v>
      </c>
      <c r="I17" s="57">
        <f t="shared" si="9"/>
        <v>-0.97250533377896076</v>
      </c>
    </row>
    <row r="18" spans="1:9" ht="15" thickBot="1" x14ac:dyDescent="0.35">
      <c r="A18" s="4" t="s">
        <v>15</v>
      </c>
      <c r="B18" s="4" t="s">
        <v>16</v>
      </c>
      <c r="C18" s="5">
        <f>SUM(C12:C17)</f>
        <v>96701134.125047624</v>
      </c>
      <c r="D18" s="5">
        <f>SUM(D12:D17)</f>
        <v>103026397.10403591</v>
      </c>
      <c r="E18" s="154">
        <f>SUM(E12:E17)</f>
        <v>126480541.12704095</v>
      </c>
      <c r="F18" s="6">
        <f t="shared" si="6"/>
        <v>0.42098192971234943</v>
      </c>
      <c r="G18" s="5">
        <f t="shared" si="7"/>
        <v>23454144.023005038</v>
      </c>
      <c r="H18" s="39" t="str">
        <f t="shared" si="8"/>
        <v>▲</v>
      </c>
      <c r="I18" s="6">
        <f t="shared" si="9"/>
        <v>0.22765179296060478</v>
      </c>
    </row>
    <row r="19" spans="1:9" ht="15" thickBot="1" x14ac:dyDescent="0.35">
      <c r="A19" s="4" t="s">
        <v>17</v>
      </c>
      <c r="B19" s="4" t="s">
        <v>18</v>
      </c>
      <c r="C19" s="5">
        <f>C18+C11</f>
        <v>306910186.90514827</v>
      </c>
      <c r="D19" s="5">
        <f>D18+D11</f>
        <v>290175544.99519992</v>
      </c>
      <c r="E19" s="154">
        <f>E18+E11</f>
        <v>300441734.4313643</v>
      </c>
      <c r="F19" s="6">
        <f t="shared" si="6"/>
        <v>1</v>
      </c>
      <c r="G19" s="5">
        <f t="shared" si="7"/>
        <v>10266189.436164379</v>
      </c>
      <c r="H19" s="39" t="str">
        <f t="shared" si="8"/>
        <v>▲</v>
      </c>
      <c r="I19" s="6">
        <f t="shared" si="9"/>
        <v>3.5379237200482194E-2</v>
      </c>
    </row>
    <row r="20" spans="1:9" x14ac:dyDescent="0.3">
      <c r="A20" s="2" t="s">
        <v>19</v>
      </c>
      <c r="B20" s="2" t="s">
        <v>20</v>
      </c>
      <c r="C20" s="2">
        <f>SUMIF(Data_Interim!$C:$C,$B20,Data_Interim!N:N)</f>
        <v>26412210.343439996</v>
      </c>
      <c r="D20" s="2">
        <f>SUMIF(Data_Interim!$C:$C,$B20,Data_Interim!O:O)</f>
        <v>26412210.343440004</v>
      </c>
      <c r="E20" s="153">
        <f>SUMIF(Data_Interim!$C:$C,$B20,Data_Interim!P:P)</f>
        <v>26412210.343440004</v>
      </c>
      <c r="F20" s="57">
        <f t="shared" si="6"/>
        <v>8.7911256381971975E-2</v>
      </c>
      <c r="G20" s="58">
        <f t="shared" si="7"/>
        <v>0</v>
      </c>
      <c r="H20" s="57" t="str">
        <f t="shared" si="8"/>
        <v>▬</v>
      </c>
      <c r="I20" s="57">
        <f t="shared" si="9"/>
        <v>0</v>
      </c>
    </row>
    <row r="21" spans="1:9" x14ac:dyDescent="0.3">
      <c r="A21" s="2" t="s">
        <v>21</v>
      </c>
      <c r="B21" s="2" t="s">
        <v>22</v>
      </c>
      <c r="C21" s="2">
        <f>SUMIF(Data_Interim!$C:$C,$B21,Data_Interim!N:N)</f>
        <v>2182283.0000000005</v>
      </c>
      <c r="D21" s="2">
        <f>SUMIF(Data_Interim!$C:$C,$B21,Data_Interim!O:O)</f>
        <v>2182283</v>
      </c>
      <c r="E21" s="153">
        <f>SUMIF(Data_Interim!$C:$C,$B21,Data_Interim!P:P)</f>
        <v>2182283</v>
      </c>
      <c r="F21" s="57">
        <f t="shared" si="6"/>
        <v>7.2635814199726008E-3</v>
      </c>
      <c r="G21" s="58">
        <f t="shared" si="7"/>
        <v>0</v>
      </c>
      <c r="H21" s="57" t="str">
        <f t="shared" si="8"/>
        <v>▬</v>
      </c>
      <c r="I21" s="57">
        <f t="shared" si="9"/>
        <v>0</v>
      </c>
    </row>
    <row r="22" spans="1:9" x14ac:dyDescent="0.3">
      <c r="A22" s="2" t="s">
        <v>23</v>
      </c>
      <c r="B22" s="2" t="s">
        <v>175</v>
      </c>
      <c r="C22" s="2">
        <f>SUMIF(Data_Interim!$C:$C,$B22,Data_Interim!N:N)</f>
        <v>59566304.240976468</v>
      </c>
      <c r="D22" s="2">
        <f>SUMIF(Data_Interim!$C:$C,$B22,Data_Interim!O:O)</f>
        <v>59943604.88875024</v>
      </c>
      <c r="E22" s="153">
        <f>SUMIF(Data_Interim!$C:$C,$B22,Data_Interim!P:P)</f>
        <v>60803936.518227242</v>
      </c>
      <c r="F22" s="57">
        <f t="shared" si="6"/>
        <v>0.20238179170849468</v>
      </c>
      <c r="G22" s="58">
        <f t="shared" si="7"/>
        <v>860331.62947700173</v>
      </c>
      <c r="H22" s="57" t="str">
        <f t="shared" si="8"/>
        <v>▲</v>
      </c>
      <c r="I22" s="57">
        <f t="shared" si="9"/>
        <v>1.4352350531365188E-2</v>
      </c>
    </row>
    <row r="23" spans="1:9" x14ac:dyDescent="0.3">
      <c r="A23" s="2" t="s">
        <v>24</v>
      </c>
      <c r="B23" s="2" t="s">
        <v>25</v>
      </c>
      <c r="C23" s="2">
        <f>SUMIF(Data_Interim!$C:$C,$B23,Data_Interim!N:N)</f>
        <v>52618585.808592618</v>
      </c>
      <c r="D23" s="2">
        <f>SUMIF(Data_Interim!$C:$C,$B23,Data_Interim!O:O)</f>
        <v>52567884.209004231</v>
      </c>
      <c r="E23" s="153">
        <f>SUMIF(Data_Interim!$C:$C,$B23,Data_Interim!P:P)</f>
        <v>52470280.655825526</v>
      </c>
      <c r="F23" s="57">
        <f t="shared" si="6"/>
        <v>0.17464378161420954</v>
      </c>
      <c r="G23" s="58">
        <f t="shared" si="7"/>
        <v>-97603.553178705275</v>
      </c>
      <c r="H23" s="57" t="str">
        <f t="shared" si="8"/>
        <v>▼</v>
      </c>
      <c r="I23" s="57">
        <f t="shared" si="9"/>
        <v>-1.8567145063447255E-3</v>
      </c>
    </row>
    <row r="24" spans="1:9" x14ac:dyDescent="0.3">
      <c r="A24" s="2"/>
      <c r="B24" s="2" t="s">
        <v>217</v>
      </c>
      <c r="C24" s="2">
        <f t="shared" ref="C24:E24" si="10">SUM(C20:C23)</f>
        <v>140779383.39300907</v>
      </c>
      <c r="D24" s="2">
        <f t="shared" si="10"/>
        <v>141105982.44119447</v>
      </c>
      <c r="E24" s="153">
        <f t="shared" si="10"/>
        <v>141868710.51749277</v>
      </c>
      <c r="F24" s="57">
        <f t="shared" ref="F24:F25" si="11">E24/$E$19</f>
        <v>0.47220041112464878</v>
      </c>
      <c r="G24" s="58">
        <f t="shared" ref="G24:G25" si="12">E24-D24</f>
        <v>762728.07629829645</v>
      </c>
      <c r="H24" s="57" t="str">
        <f t="shared" ref="H24:H25" si="13">IF(E24&gt;D24,"▲",IF(E24=D24,"▬","▼"))</f>
        <v>▲</v>
      </c>
      <c r="I24" s="57">
        <f t="shared" ref="I24:I25" si="14">IF(ISERROR(E24/D24-100%),"",E24/D24-100%)</f>
        <v>5.4053560529665479E-3</v>
      </c>
    </row>
    <row r="25" spans="1:9" ht="15" thickBot="1" x14ac:dyDescent="0.35">
      <c r="A25" s="2"/>
      <c r="B25" s="2" t="s">
        <v>219</v>
      </c>
      <c r="C25" s="2">
        <f>SUMIF(Data_Interim!$C:$C,$B25,Data_Interim!N:N)</f>
        <v>937863.95077047276</v>
      </c>
      <c r="D25" s="2">
        <f>SUMIF(Data_Interim!$C:$C,$B25,Data_Interim!O:O)</f>
        <v>911142.17706565105</v>
      </c>
      <c r="E25" s="153">
        <f>SUMIF(Data_Interim!$C:$C,$B25,Data_Interim!P:P)</f>
        <v>916008.5585736793</v>
      </c>
      <c r="F25" s="57">
        <f t="shared" si="11"/>
        <v>3.0488725552972095E-3</v>
      </c>
      <c r="G25" s="58">
        <f t="shared" si="12"/>
        <v>4866.3815080282511</v>
      </c>
      <c r="H25" s="57" t="str">
        <f t="shared" si="13"/>
        <v>▲</v>
      </c>
      <c r="I25" s="57">
        <f t="shared" si="14"/>
        <v>5.340968325822093E-3</v>
      </c>
    </row>
    <row r="26" spans="1:9" ht="15" thickBot="1" x14ac:dyDescent="0.35">
      <c r="A26" s="4" t="s">
        <v>26</v>
      </c>
      <c r="B26" s="4" t="s">
        <v>27</v>
      </c>
      <c r="C26" s="5">
        <f t="shared" ref="C26:E26" si="15">C24+C25</f>
        <v>141717247.34377953</v>
      </c>
      <c r="D26" s="5">
        <f t="shared" si="15"/>
        <v>142017124.61826012</v>
      </c>
      <c r="E26" s="154">
        <f t="shared" si="15"/>
        <v>142784719.07606646</v>
      </c>
      <c r="F26" s="6">
        <f t="shared" ref="F26:F37" si="16">E26/$E$19</f>
        <v>0.47524928367994607</v>
      </c>
      <c r="G26" s="5">
        <f t="shared" si="7"/>
        <v>767594.4578063488</v>
      </c>
      <c r="H26" s="39" t="str">
        <f t="shared" si="8"/>
        <v>▲</v>
      </c>
      <c r="I26" s="6">
        <f t="shared" si="9"/>
        <v>5.4049429593059362E-3</v>
      </c>
    </row>
    <row r="27" spans="1:9" x14ac:dyDescent="0.3">
      <c r="A27" s="2" t="s">
        <v>28</v>
      </c>
      <c r="B27" s="2" t="s">
        <v>223</v>
      </c>
      <c r="C27" s="2">
        <f>SUMIF(Data_Interim!$C:$C,$B27,Data_Interim!N:N)</f>
        <v>283594.23824699997</v>
      </c>
      <c r="D27" s="2">
        <f>SUMIF(Data_Interim!$C:$C,$B27,Data_Interim!O:O)</f>
        <v>248808.238247</v>
      </c>
      <c r="E27" s="153">
        <f>SUMIF(Data_Interim!$C:$C,$B27,Data_Interim!P:P)</f>
        <v>446038</v>
      </c>
      <c r="F27" s="57">
        <f t="shared" si="16"/>
        <v>1.4846073260900345E-3</v>
      </c>
      <c r="G27" s="58">
        <f t="shared" si="7"/>
        <v>197229.761753</v>
      </c>
      <c r="H27" s="57" t="str">
        <f t="shared" si="8"/>
        <v>▲</v>
      </c>
      <c r="I27" s="57">
        <f t="shared" si="9"/>
        <v>0.79269787504866951</v>
      </c>
    </row>
    <row r="28" spans="1:9" x14ac:dyDescent="0.3">
      <c r="A28" s="2" t="s">
        <v>29</v>
      </c>
      <c r="B28" s="2" t="s">
        <v>31</v>
      </c>
      <c r="C28" s="2">
        <f>SUMIF(Data_Interim!$C:$C,$B28,Data_Interim!N:N)</f>
        <v>8897478</v>
      </c>
      <c r="D28" s="2">
        <f>SUMIF(Data_Interim!$C:$C,$B28,Data_Interim!O:O)</f>
        <v>8364029</v>
      </c>
      <c r="E28" s="153">
        <f>SUMIF(Data_Interim!$C:$C,$B28,Data_Interim!P:P)</f>
        <v>7857468</v>
      </c>
      <c r="F28" s="57">
        <f t="shared" si="16"/>
        <v>2.6153050989642164E-2</v>
      </c>
      <c r="G28" s="58">
        <f t="shared" si="7"/>
        <v>-506561</v>
      </c>
      <c r="H28" s="57" t="str">
        <f t="shared" si="8"/>
        <v>▼</v>
      </c>
      <c r="I28" s="57">
        <f t="shared" si="9"/>
        <v>-6.0564232859546485E-2</v>
      </c>
    </row>
    <row r="29" spans="1:9" x14ac:dyDescent="0.3">
      <c r="A29" s="2" t="s">
        <v>30</v>
      </c>
      <c r="B29" s="2" t="s">
        <v>182</v>
      </c>
      <c r="C29" s="2">
        <f>SUMIF(Data_Interim!$C:$C,$B29,Data_Interim!N:N)</f>
        <v>28909454.638776001</v>
      </c>
      <c r="D29" s="2">
        <f>SUMIF(Data_Interim!$C:$C,$B29,Data_Interim!O:O)</f>
        <v>15736863.67</v>
      </c>
      <c r="E29" s="153">
        <f>SUMIF(Data_Interim!$C:$C,$B29,Data_Interim!P:P)</f>
        <v>11984709.77</v>
      </c>
      <c r="F29" s="57">
        <f t="shared" si="16"/>
        <v>3.9890296175672954E-2</v>
      </c>
      <c r="G29" s="58">
        <f t="shared" si="7"/>
        <v>-3752153.9000000004</v>
      </c>
      <c r="H29" s="57" t="str">
        <f t="shared" si="8"/>
        <v>▼</v>
      </c>
      <c r="I29" s="57">
        <f t="shared" si="9"/>
        <v>-0.23843085755091886</v>
      </c>
    </row>
    <row r="30" spans="1:9" ht="15" thickBot="1" x14ac:dyDescent="0.35">
      <c r="A30" s="2" t="s">
        <v>32</v>
      </c>
      <c r="B30" s="2" t="s">
        <v>183</v>
      </c>
      <c r="C30" s="2">
        <f>SUMIF(Data_Interim!$C:$C,$B30,Data_Interim!N:N)</f>
        <v>24443923.390000001</v>
      </c>
      <c r="D30" s="2">
        <f>SUMIF(Data_Interim!$C:$C,$B30,Data_Interim!O:O)</f>
        <v>20694980.75</v>
      </c>
      <c r="E30" s="153">
        <f>SUMIF(Data_Interim!$C:$C,$B30,Data_Interim!P:P)</f>
        <v>16951998.100000001</v>
      </c>
      <c r="F30" s="57">
        <f t="shared" si="16"/>
        <v>5.6423579540587007E-2</v>
      </c>
      <c r="G30" s="58">
        <f t="shared" si="7"/>
        <v>-3742982.6499999985</v>
      </c>
      <c r="H30" s="57" t="str">
        <f t="shared" si="8"/>
        <v>▼</v>
      </c>
      <c r="I30" s="57">
        <f t="shared" si="9"/>
        <v>-0.18086427309191866</v>
      </c>
    </row>
    <row r="31" spans="1:9" ht="15" thickBot="1" x14ac:dyDescent="0.35">
      <c r="A31" s="4" t="s">
        <v>34</v>
      </c>
      <c r="B31" s="4" t="s">
        <v>35</v>
      </c>
      <c r="C31" s="5">
        <f>SUM(C27:C30)</f>
        <v>62534450.267022997</v>
      </c>
      <c r="D31" s="5">
        <f>SUM(D27:D30)</f>
        <v>45044681.658247001</v>
      </c>
      <c r="E31" s="154">
        <f>SUM(E27:E30)</f>
        <v>37240213.870000005</v>
      </c>
      <c r="F31" s="6">
        <f t="shared" si="16"/>
        <v>0.12395153403199216</v>
      </c>
      <c r="G31" s="5">
        <f t="shared" si="7"/>
        <v>-7804467.7882469967</v>
      </c>
      <c r="H31" s="39" t="str">
        <f t="shared" si="8"/>
        <v>▼</v>
      </c>
      <c r="I31" s="6">
        <f t="shared" si="9"/>
        <v>-0.17326058262458865</v>
      </c>
    </row>
    <row r="32" spans="1:9" x14ac:dyDescent="0.3">
      <c r="A32" s="2" t="s">
        <v>36</v>
      </c>
      <c r="B32" s="2" t="s">
        <v>227</v>
      </c>
      <c r="C32" s="2">
        <f>SUMIF(Data_Interim!$C:$C,$B32,Data_Interim!N:N)</f>
        <v>36232955.214900851</v>
      </c>
      <c r="D32" s="2">
        <f>SUMIF(Data_Interim!$C:$C,$B32,Data_Interim!O:O)</f>
        <v>37461479.418700837</v>
      </c>
      <c r="E32" s="153">
        <f>SUMIF(Data_Interim!$C:$C,$B32,Data_Interim!P:P)</f>
        <v>55186922.47597485</v>
      </c>
      <c r="F32" s="57">
        <f t="shared" si="16"/>
        <v>0.18368594023871296</v>
      </c>
      <c r="G32" s="58">
        <f t="shared" si="7"/>
        <v>17725443.057274014</v>
      </c>
      <c r="H32" s="57" t="str">
        <f t="shared" si="8"/>
        <v>▲</v>
      </c>
      <c r="I32" s="57">
        <f t="shared" si="9"/>
        <v>0.47316452346047599</v>
      </c>
    </row>
    <row r="33" spans="1:9" x14ac:dyDescent="0.3">
      <c r="A33" s="2" t="s">
        <v>37</v>
      </c>
      <c r="B33" s="7" t="s">
        <v>178</v>
      </c>
      <c r="C33" s="7">
        <f>SUMIF(Data_Interim!$C:$C,$B33,Data_Interim!N:N)</f>
        <v>57630076.221224003</v>
      </c>
      <c r="D33" s="7">
        <f>SUMIF(Data_Interim!$C:$C,$B33,Data_Interim!O:O)</f>
        <v>56711366.030000001</v>
      </c>
      <c r="E33" s="155">
        <f>SUMIF(Data_Interim!$C:$C,$B33,Data_Interim!P:P)</f>
        <v>55206700.740000002</v>
      </c>
      <c r="F33" s="57">
        <f t="shared" si="16"/>
        <v>0.1837517708532998</v>
      </c>
      <c r="G33" s="58">
        <f t="shared" si="7"/>
        <v>-1504665.2899999991</v>
      </c>
      <c r="H33" s="57" t="str">
        <f t="shared" si="8"/>
        <v>▼</v>
      </c>
      <c r="I33" s="57">
        <f t="shared" si="9"/>
        <v>-2.6531988123933425E-2</v>
      </c>
    </row>
    <row r="34" spans="1:9" ht="15" thickBot="1" x14ac:dyDescent="0.35">
      <c r="A34" s="2" t="s">
        <v>28</v>
      </c>
      <c r="B34" s="2" t="s">
        <v>180</v>
      </c>
      <c r="C34" s="2">
        <f>SUMIF(Data_Interim!$C:$C,$B34,Data_Interim!N:N)</f>
        <v>8795459.0958750006</v>
      </c>
      <c r="D34" s="2">
        <f>SUMIF(Data_Interim!$C:$C,$B34,Data_Interim!O:O)</f>
        <v>8940893.5458750017</v>
      </c>
      <c r="E34" s="153">
        <f>SUMIF(Data_Interim!$C:$C,$B34,Data_Interim!P:P)</f>
        <v>10023177.346875001</v>
      </c>
      <c r="F34" s="57">
        <f t="shared" si="16"/>
        <v>3.3361468125743324E-2</v>
      </c>
      <c r="G34" s="58">
        <f t="shared" si="7"/>
        <v>1082283.800999999</v>
      </c>
      <c r="H34" s="57" t="str">
        <f t="shared" si="8"/>
        <v>▲</v>
      </c>
      <c r="I34" s="57">
        <f t="shared" si="9"/>
        <v>0.12104872912834597</v>
      </c>
    </row>
    <row r="35" spans="1:9" ht="15" thickBot="1" x14ac:dyDescent="0.35">
      <c r="A35" s="4" t="s">
        <v>38</v>
      </c>
      <c r="B35" s="4" t="s">
        <v>39</v>
      </c>
      <c r="C35" s="4">
        <f>SUM(C32:C34)</f>
        <v>102658490.53199986</v>
      </c>
      <c r="D35" s="4">
        <f>SUM(D32:D34)</f>
        <v>103113738.99457584</v>
      </c>
      <c r="E35" s="156">
        <f>SUM(E32:E34)</f>
        <v>120416800.56284985</v>
      </c>
      <c r="F35" s="6">
        <f t="shared" si="16"/>
        <v>0.40079917921775604</v>
      </c>
      <c r="G35" s="5">
        <f t="shared" si="7"/>
        <v>17303061.568274006</v>
      </c>
      <c r="H35" s="39" t="str">
        <f t="shared" si="8"/>
        <v>▲</v>
      </c>
      <c r="I35" s="6">
        <f t="shared" si="9"/>
        <v>0.16780558766455167</v>
      </c>
    </row>
    <row r="36" spans="1:9" ht="15" thickBot="1" x14ac:dyDescent="0.35">
      <c r="A36" s="4" t="s">
        <v>40</v>
      </c>
      <c r="B36" s="4" t="s">
        <v>41</v>
      </c>
      <c r="C36" s="4">
        <f>C35+C31</f>
        <v>165192940.79902285</v>
      </c>
      <c r="D36" s="4">
        <f>D35+D31</f>
        <v>148158420.65282285</v>
      </c>
      <c r="E36" s="156">
        <f>E35+E31</f>
        <v>157657014.43284985</v>
      </c>
      <c r="F36" s="6">
        <f t="shared" si="16"/>
        <v>0.5247507132497482</v>
      </c>
      <c r="G36" s="5">
        <f t="shared" si="7"/>
        <v>9498593.7800270021</v>
      </c>
      <c r="H36" s="39" t="str">
        <f t="shared" si="8"/>
        <v>▲</v>
      </c>
      <c r="I36" s="6">
        <f t="shared" si="9"/>
        <v>6.4111062592148604E-2</v>
      </c>
    </row>
    <row r="37" spans="1:9" ht="15" thickBot="1" x14ac:dyDescent="0.35">
      <c r="A37" s="4" t="s">
        <v>42</v>
      </c>
      <c r="B37" s="4" t="s">
        <v>43</v>
      </c>
      <c r="C37" s="4">
        <f>C36+C26</f>
        <v>306910188.14280236</v>
      </c>
      <c r="D37" s="4">
        <f>D36+D26</f>
        <v>290175545.271083</v>
      </c>
      <c r="E37" s="156">
        <f>E36+E26</f>
        <v>300441733.50891632</v>
      </c>
      <c r="F37" s="6">
        <f t="shared" si="16"/>
        <v>0.99999999692969421</v>
      </c>
      <c r="G37" s="5">
        <f t="shared" si="7"/>
        <v>10266188.237833321</v>
      </c>
      <c r="H37" s="39" t="str">
        <f t="shared" si="8"/>
        <v>▲</v>
      </c>
      <c r="I37" s="6">
        <f t="shared" si="9"/>
        <v>3.5379233037169389E-2</v>
      </c>
    </row>
    <row r="39" spans="1:9" x14ac:dyDescent="0.3">
      <c r="A39" s="25" t="s">
        <v>59</v>
      </c>
      <c r="B39" s="25" t="s">
        <v>59</v>
      </c>
      <c r="C39" s="31">
        <f>C37-C19</f>
        <v>1.2376540899276733</v>
      </c>
      <c r="D39" s="31">
        <f>D37-D19</f>
        <v>0.27588307857513428</v>
      </c>
      <c r="E39" s="31">
        <f>E37-E19</f>
        <v>-0.92244797945022583</v>
      </c>
    </row>
  </sheetData>
  <mergeCells count="1">
    <mergeCell ref="G3:I3"/>
  </mergeCells>
  <conditionalFormatting sqref="H20:H23 H27:H30 H32:H34 H4:H17">
    <cfRule type="expression" dxfId="147" priority="28">
      <formula>E4=D4</formula>
    </cfRule>
    <cfRule type="expression" dxfId="146" priority="29">
      <formula>E4&lt;D4</formula>
    </cfRule>
    <cfRule type="expression" dxfId="145" priority="30">
      <formula>E4&gt;D4</formula>
    </cfRule>
  </conditionalFormatting>
  <conditionalFormatting sqref="H18:H19">
    <cfRule type="expression" dxfId="144" priority="13">
      <formula>E18=D18</formula>
    </cfRule>
    <cfRule type="expression" dxfId="143" priority="14">
      <formula>E18&lt;D18</formula>
    </cfRule>
    <cfRule type="expression" dxfId="142" priority="15">
      <formula>E18&gt;D18</formula>
    </cfRule>
  </conditionalFormatting>
  <conditionalFormatting sqref="H26">
    <cfRule type="expression" dxfId="141" priority="10">
      <formula>E26=D26</formula>
    </cfRule>
    <cfRule type="expression" dxfId="140" priority="11">
      <formula>E26&lt;D26</formula>
    </cfRule>
    <cfRule type="expression" dxfId="139" priority="12">
      <formula>E26&gt;D26</formula>
    </cfRule>
  </conditionalFormatting>
  <conditionalFormatting sqref="H31">
    <cfRule type="expression" dxfId="138" priority="7">
      <formula>E31=D31</formula>
    </cfRule>
    <cfRule type="expression" dxfId="137" priority="8">
      <formula>E31&lt;D31</formula>
    </cfRule>
    <cfRule type="expression" dxfId="136" priority="9">
      <formula>E31&gt;D31</formula>
    </cfRule>
  </conditionalFormatting>
  <conditionalFormatting sqref="H35:H37">
    <cfRule type="expression" dxfId="135" priority="4">
      <formula>E35=D35</formula>
    </cfRule>
    <cfRule type="expression" dxfId="134" priority="5">
      <formula>E35&lt;D35</formula>
    </cfRule>
    <cfRule type="expression" dxfId="133" priority="6">
      <formula>E35&gt;D35</formula>
    </cfRule>
  </conditionalFormatting>
  <conditionalFormatting sqref="H24:H25">
    <cfRule type="expression" dxfId="132" priority="1">
      <formula>E24=D24</formula>
    </cfRule>
    <cfRule type="expression" dxfId="131" priority="2">
      <formula>E24&lt;D24</formula>
    </cfRule>
    <cfRule type="expression" dxfId="130" priority="3">
      <formula>E24&gt;D24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55BAF-0043-45B3-82D6-5BCD42358896}">
  <dimension ref="A1:W74"/>
  <sheetViews>
    <sheetView showGridLines="0" topLeftCell="B1" zoomScaleNormal="100" workbookViewId="0">
      <pane xSplit="1" ySplit="5" topLeftCell="C6" activePane="bottomRight" state="frozen"/>
      <selection activeCell="B1" sqref="B1"/>
      <selection pane="topRight" activeCell="C1" sqref="C1"/>
      <selection pane="bottomLeft" activeCell="B4" sqref="B4"/>
      <selection pane="bottomRight" activeCell="R2" sqref="R2"/>
    </sheetView>
  </sheetViews>
  <sheetFormatPr defaultColWidth="9.109375" defaultRowHeight="14.4" x14ac:dyDescent="0.3"/>
  <cols>
    <col min="1" max="1" width="42.6640625" style="54" hidden="1" customWidth="1"/>
    <col min="2" max="2" width="37.5546875" style="54" customWidth="1"/>
    <col min="3" max="3" width="13.33203125" style="54" bestFit="1" customWidth="1"/>
    <col min="4" max="4" width="14.21875" style="54" customWidth="1"/>
    <col min="5" max="5" width="10.88671875" style="54" bestFit="1" customWidth="1"/>
    <col min="6" max="6" width="3" style="54" bestFit="1" customWidth="1"/>
    <col min="7" max="7" width="8.21875" style="54" customWidth="1"/>
    <col min="8" max="8" width="1.6640625" style="54" customWidth="1"/>
    <col min="9" max="9" width="3.6640625" style="54" customWidth="1"/>
    <col min="10" max="10" width="13.33203125" style="54" bestFit="1" customWidth="1"/>
    <col min="11" max="11" width="13.88671875" style="54" customWidth="1"/>
    <col min="12" max="12" width="11.21875" style="54" bestFit="1" customWidth="1"/>
    <col min="13" max="13" width="3" style="54" bestFit="1" customWidth="1"/>
    <col min="14" max="14" width="10.21875" style="54" customWidth="1"/>
    <col min="15" max="15" width="1.6640625" style="54" customWidth="1"/>
    <col min="16" max="16" width="3.6640625" style="54" customWidth="1"/>
    <col min="17" max="17" width="13.33203125" style="54" bestFit="1" customWidth="1"/>
    <col min="18" max="18" width="14.44140625" style="54" customWidth="1"/>
    <col min="19" max="19" width="10.77734375" style="54" bestFit="1" customWidth="1"/>
    <col min="20" max="20" width="3" style="54" bestFit="1" customWidth="1"/>
    <col min="21" max="21" width="8.33203125" style="54" customWidth="1"/>
    <col min="22" max="22" width="1.6640625" style="54" customWidth="1"/>
    <col min="23" max="23" width="3.6640625" style="54" customWidth="1"/>
    <col min="24" max="16384" width="9.109375" style="54"/>
  </cols>
  <sheetData>
    <row r="1" spans="1:23" x14ac:dyDescent="0.3">
      <c r="B1" s="208" t="s">
        <v>257</v>
      </c>
      <c r="C1" s="208"/>
      <c r="D1" s="208"/>
      <c r="E1" s="208"/>
      <c r="H1" s="55"/>
      <c r="I1" s="148"/>
      <c r="O1" s="55"/>
      <c r="P1" s="148"/>
      <c r="V1" s="55"/>
      <c r="W1" s="148"/>
    </row>
    <row r="2" spans="1:23" ht="10.5" customHeight="1" x14ac:dyDescent="0.3">
      <c r="B2" s="126"/>
      <c r="C2" s="126"/>
      <c r="D2" s="126"/>
      <c r="E2" s="126"/>
      <c r="H2" s="55"/>
      <c r="I2" s="148"/>
      <c r="O2" s="55"/>
      <c r="P2" s="148"/>
      <c r="V2" s="55"/>
      <c r="W2" s="148"/>
    </row>
    <row r="3" spans="1:23" ht="11.25" customHeight="1" thickBot="1" x14ac:dyDescent="0.35">
      <c r="B3" s="77"/>
      <c r="C3" s="77"/>
      <c r="D3" s="77"/>
      <c r="E3" s="77"/>
      <c r="H3" s="55"/>
      <c r="I3" s="148"/>
      <c r="O3" s="55"/>
      <c r="P3" s="148"/>
      <c r="V3" s="55"/>
      <c r="W3" s="148"/>
    </row>
    <row r="4" spans="1:23" ht="19.5" customHeight="1" thickBot="1" x14ac:dyDescent="0.35">
      <c r="A4" s="29"/>
      <c r="B4" s="209" t="s">
        <v>0</v>
      </c>
      <c r="C4" s="151" t="s">
        <v>151</v>
      </c>
      <c r="D4" s="151" t="s">
        <v>278</v>
      </c>
      <c r="E4" s="206" t="s">
        <v>153</v>
      </c>
      <c r="F4" s="206"/>
      <c r="G4" s="206"/>
      <c r="H4" s="55"/>
      <c r="I4" s="148"/>
      <c r="J4" s="151" t="s">
        <v>151</v>
      </c>
      <c r="K4" s="151" t="s">
        <v>278</v>
      </c>
      <c r="L4" s="206" t="s">
        <v>153</v>
      </c>
      <c r="M4" s="206"/>
      <c r="N4" s="206"/>
      <c r="O4" s="55"/>
      <c r="P4" s="148"/>
      <c r="Q4" s="151" t="s">
        <v>151</v>
      </c>
      <c r="R4" s="151" t="s">
        <v>278</v>
      </c>
      <c r="S4" s="206" t="s">
        <v>153</v>
      </c>
      <c r="T4" s="206"/>
      <c r="U4" s="206"/>
      <c r="V4" s="55"/>
      <c r="W4" s="148"/>
    </row>
    <row r="5" spans="1:23" ht="15" thickBot="1" x14ac:dyDescent="0.35">
      <c r="A5" s="29" t="s">
        <v>0</v>
      </c>
      <c r="B5" s="210"/>
      <c r="C5" s="152">
        <v>2019</v>
      </c>
      <c r="D5" s="152">
        <v>2019</v>
      </c>
      <c r="E5" s="207"/>
      <c r="F5" s="207"/>
      <c r="G5" s="207"/>
      <c r="H5" s="55"/>
      <c r="I5" s="148"/>
      <c r="J5" s="152">
        <v>2020</v>
      </c>
      <c r="K5" s="152">
        <v>2020</v>
      </c>
      <c r="L5" s="207"/>
      <c r="M5" s="207"/>
      <c r="N5" s="207"/>
      <c r="O5" s="55"/>
      <c r="P5" s="148"/>
      <c r="Q5" s="152">
        <v>2021</v>
      </c>
      <c r="R5" s="152">
        <v>2021</v>
      </c>
      <c r="S5" s="207"/>
      <c r="T5" s="207"/>
      <c r="U5" s="207"/>
      <c r="V5" s="55"/>
      <c r="W5" s="148"/>
    </row>
    <row r="6" spans="1:23" x14ac:dyDescent="0.3">
      <c r="A6" s="2" t="s">
        <v>1</v>
      </c>
      <c r="B6" s="2" t="s">
        <v>2</v>
      </c>
      <c r="C6" s="2">
        <f>SUMIFS(Data_Annual_BS!$D:$D,Data_Annual_BS!$A:$A,C$5-1,Data_Annual_BS!$C:$C,$B6)</f>
        <v>172357212</v>
      </c>
      <c r="D6" s="153">
        <f>SUMIF(Data_Interim!$C:$C,$B6,Data_Interim!N:N)</f>
        <v>161980426.03363431</v>
      </c>
      <c r="E6" s="58">
        <f>D6-C6</f>
        <v>-10376785.966365695</v>
      </c>
      <c r="F6" s="57" t="str">
        <f>IF(D6&gt;C6,"▲",IF(D6=C6,"▬","▼"))</f>
        <v>▼</v>
      </c>
      <c r="G6" s="57">
        <f>IF(ISERROR(D6/C6-100%),0,D6/C6-100%)</f>
        <v>-6.0205116141967441E-2</v>
      </c>
      <c r="H6" s="55"/>
      <c r="I6" s="148"/>
      <c r="J6" s="2">
        <f>SUMIFS(Data_Annual_BS!$D:$D,Data_Annual_BS!$A:$A,J$5-1,Data_Annual_BS!$C:$C,$B6)</f>
        <v>157093809.54692432</v>
      </c>
      <c r="K6" s="153">
        <f>SUMIF(Data_Interim!$C:$C,$B6,Data_Interim!O:O)</f>
        <v>147193785.50263861</v>
      </c>
      <c r="L6" s="58">
        <f>K6-J6</f>
        <v>-9900024.0442857146</v>
      </c>
      <c r="M6" s="57" t="str">
        <f>IF(K6&gt;J6,"▲",IF(K6=J6,"▬","▼"))</f>
        <v>▼</v>
      </c>
      <c r="N6" s="57">
        <f>IF(ISERROR(K6/J6-100%),0,K6/J6-100%)</f>
        <v>-6.3019822823308314E-2</v>
      </c>
      <c r="O6" s="55"/>
      <c r="P6" s="148"/>
      <c r="Q6" s="2">
        <f>SUMIFS(Data_Annual_BS!$D:$D,Data_Annual_BS!$A:$A,Q$5-1,Data_Annual_BS!$C:$C,$B6)</f>
        <v>144756737.42610183</v>
      </c>
      <c r="R6" s="153">
        <f>SUMIF(Data_Interim!$C:$C,$B6,Data_Interim!P:P)</f>
        <v>135832552.07783344</v>
      </c>
      <c r="S6" s="58">
        <f>R6-Q6</f>
        <v>-8924185.3482683897</v>
      </c>
      <c r="T6" s="57" t="str">
        <f>IF(R6&gt;Q6,"▲",IF(R6=Q6,"▬","▼"))</f>
        <v>▼</v>
      </c>
      <c r="U6" s="57">
        <f>IF(ISERROR(R6/Q6-100%),0,R6/Q6-100%)</f>
        <v>-6.1649533603395645E-2</v>
      </c>
      <c r="V6" s="55"/>
      <c r="W6" s="148"/>
    </row>
    <row r="7" spans="1:23" x14ac:dyDescent="0.3">
      <c r="A7" s="2" t="s">
        <v>1</v>
      </c>
      <c r="B7" s="2" t="s">
        <v>4</v>
      </c>
      <c r="C7" s="2">
        <f>SUMIFS(Data_Annual_BS!$D:$D,Data_Annual_BS!$A:$A,C$5-1,Data_Annual_BS!$C:$C,$B7)</f>
        <v>18033515</v>
      </c>
      <c r="D7" s="153">
        <f>SUMIF(Data_Interim!$C:$C,$B7,Data_Interim!N:N)</f>
        <v>18033515</v>
      </c>
      <c r="E7" s="58">
        <f t="shared" ref="E7:E9" si="0">D7-C7</f>
        <v>0</v>
      </c>
      <c r="F7" s="57" t="str">
        <f t="shared" ref="F7:F9" si="1">IF(D7&gt;C7,"▲",IF(D7=C7,"▬","▼"))</f>
        <v>▬</v>
      </c>
      <c r="G7" s="57">
        <f t="shared" ref="G7:G9" si="2">IF(ISERROR(D7/C7-100%),0,D7/C7-100%)</f>
        <v>0</v>
      </c>
      <c r="H7" s="55"/>
      <c r="I7" s="148"/>
      <c r="J7" s="2">
        <f>SUMIFS(Data_Annual_BS!$D:$D,Data_Annual_BS!$A:$A,J$5-1,Data_Annual_BS!$C:$C,$B7)</f>
        <v>13432444</v>
      </c>
      <c r="K7" s="153">
        <f>SUMIF(Data_Interim!$C:$C,$B7,Data_Interim!O:O)</f>
        <v>13425346</v>
      </c>
      <c r="L7" s="58">
        <f t="shared" ref="L7:L9" si="3">K7-J7</f>
        <v>-7098</v>
      </c>
      <c r="M7" s="57" t="str">
        <f t="shared" ref="M7:M9" si="4">IF(K7&gt;J7,"▲",IF(K7=J7,"▬","▼"))</f>
        <v>▼</v>
      </c>
      <c r="N7" s="57">
        <f t="shared" ref="N7:N9" si="5">IF(ISERROR(K7/J7-100%),0,K7/J7-100%)</f>
        <v>-5.2842208015158043E-4</v>
      </c>
      <c r="O7" s="55"/>
      <c r="P7" s="148"/>
      <c r="Q7" s="2">
        <f>SUMIFS(Data_Annual_BS!$D:$D,Data_Annual_BS!$A:$A,Q$5-1,Data_Annual_BS!$C:$C,$B7)</f>
        <v>11885345.9</v>
      </c>
      <c r="R7" s="153">
        <f>SUMIF(Data_Interim!$C:$C,$B7,Data_Interim!P:P)</f>
        <v>10087266</v>
      </c>
      <c r="S7" s="58">
        <f t="shared" ref="S7:S9" si="6">R7-Q7</f>
        <v>-1798079.9000000004</v>
      </c>
      <c r="T7" s="57" t="str">
        <f t="shared" ref="T7:T9" si="7">IF(R7&gt;Q7,"▲",IF(R7=Q7,"▬","▼"))</f>
        <v>▼</v>
      </c>
      <c r="U7" s="57">
        <f t="shared" ref="U7:U9" si="8">IF(ISERROR(R7/Q7-100%),0,R7/Q7-100%)</f>
        <v>-0.1512854497570828</v>
      </c>
      <c r="V7" s="55"/>
      <c r="W7" s="148"/>
    </row>
    <row r="8" spans="1:23" x14ac:dyDescent="0.3">
      <c r="A8" s="2" t="s">
        <v>1</v>
      </c>
      <c r="B8" s="2" t="s">
        <v>200</v>
      </c>
      <c r="C8" s="2">
        <f>SUMIFS(Data_Annual_BS!$D:$D,Data_Annual_BS!$A:$A,C$5-1,Data_Annual_BS!$C:$C,$B8)</f>
        <v>143461</v>
      </c>
      <c r="D8" s="153">
        <f>SUMIF(Data_Interim!$C:$C,$B8,Data_Interim!N:N)</f>
        <v>143460.56021036324</v>
      </c>
      <c r="E8" s="58">
        <f t="shared" si="0"/>
        <v>-0.43978963675908744</v>
      </c>
      <c r="F8" s="57" t="str">
        <f t="shared" si="1"/>
        <v>▼</v>
      </c>
      <c r="G8" s="57">
        <f t="shared" si="2"/>
        <v>-3.0655692958569958E-6</v>
      </c>
      <c r="H8" s="55"/>
      <c r="I8" s="148"/>
      <c r="J8" s="2">
        <f>SUMIFS(Data_Annual_BS!$D:$D,Data_Annual_BS!$A:$A,J$5-1,Data_Annual_BS!$C:$C,$B8)</f>
        <v>143460.56021036324</v>
      </c>
      <c r="K8" s="153">
        <f>SUMIF(Data_Interim!$C:$C,$B8,Data_Interim!O:O)</f>
        <v>143460.56021036324</v>
      </c>
      <c r="L8" s="58">
        <f t="shared" si="3"/>
        <v>0</v>
      </c>
      <c r="M8" s="57" t="str">
        <f t="shared" si="4"/>
        <v>▬</v>
      </c>
      <c r="N8" s="57">
        <f t="shared" si="5"/>
        <v>0</v>
      </c>
      <c r="O8" s="55"/>
      <c r="P8" s="148"/>
      <c r="Q8" s="2">
        <f>SUMIFS(Data_Annual_BS!$D:$D,Data_Annual_BS!$A:$A,Q$5-1,Data_Annual_BS!$C:$C,$B8)</f>
        <v>143460.56021036324</v>
      </c>
      <c r="R8" s="153">
        <f>SUMIF(Data_Interim!$C:$C,$B8,Data_Interim!P:P)</f>
        <v>143460.56021036324</v>
      </c>
      <c r="S8" s="58">
        <f t="shared" si="6"/>
        <v>0</v>
      </c>
      <c r="T8" s="57" t="str">
        <f t="shared" si="7"/>
        <v>▬</v>
      </c>
      <c r="U8" s="57">
        <f t="shared" si="8"/>
        <v>0</v>
      </c>
      <c r="V8" s="55"/>
      <c r="W8" s="148"/>
    </row>
    <row r="9" spans="1:23" x14ac:dyDescent="0.3">
      <c r="A9" s="2" t="s">
        <v>1</v>
      </c>
      <c r="B9" s="2" t="s">
        <v>166</v>
      </c>
      <c r="C9" s="2">
        <f>SUMIFS(Data_Annual_BS!$D:$D,Data_Annual_BS!$A:$A,C$5-1,Data_Annual_BS!$C:$C,$B9)</f>
        <v>90427</v>
      </c>
      <c r="D9" s="153">
        <f>SUMIF(Data_Interim!$C:$C,$B9,Data_Interim!N:N)</f>
        <v>335787.42818181799</v>
      </c>
      <c r="E9" s="58">
        <f t="shared" si="0"/>
        <v>245360.42818181799</v>
      </c>
      <c r="F9" s="57" t="str">
        <f t="shared" si="1"/>
        <v>▲</v>
      </c>
      <c r="G9" s="57">
        <f t="shared" si="2"/>
        <v>2.7133536242694989</v>
      </c>
      <c r="H9" s="55"/>
      <c r="I9" s="148"/>
      <c r="J9" s="2">
        <f>SUMIFS(Data_Annual_BS!$D:$D,Data_Annual_BS!$A:$A,J$5-1,Data_Annual_BS!$C:$C,$B9)</f>
        <v>307580.76636363612</v>
      </c>
      <c r="K9" s="153">
        <f>SUMIF(Data_Interim!$C:$C,$B9,Data_Interim!O:O)</f>
        <v>399743.64545454574</v>
      </c>
      <c r="L9" s="58">
        <f t="shared" si="3"/>
        <v>92162.879090909613</v>
      </c>
      <c r="M9" s="57" t="str">
        <f t="shared" si="4"/>
        <v>▲</v>
      </c>
      <c r="N9" s="57">
        <f t="shared" si="5"/>
        <v>0.29963797860478181</v>
      </c>
      <c r="O9" s="55"/>
      <c r="P9" s="148"/>
      <c r="Q9" s="2">
        <f>SUMIFS(Data_Annual_BS!$D:$D,Data_Annual_BS!$A:$A,Q$5-1,Data_Annual_BS!$C:$C,$B9)</f>
        <v>323175.72909090878</v>
      </c>
      <c r="R9" s="153">
        <f>SUMIF(Data_Interim!$C:$C,$B9,Data_Interim!P:P)</f>
        <v>274009.84909090865</v>
      </c>
      <c r="S9" s="58">
        <f t="shared" si="6"/>
        <v>-49165.880000000121</v>
      </c>
      <c r="T9" s="57" t="str">
        <f t="shared" si="7"/>
        <v>▼</v>
      </c>
      <c r="U9" s="57">
        <f t="shared" si="8"/>
        <v>-0.15213357803292782</v>
      </c>
      <c r="V9" s="55"/>
      <c r="W9" s="148"/>
    </row>
    <row r="10" spans="1:23" ht="28.8" x14ac:dyDescent="0.3">
      <c r="A10" s="3" t="s">
        <v>3</v>
      </c>
      <c r="B10" s="3" t="s">
        <v>203</v>
      </c>
      <c r="C10" s="2">
        <f>SUMIFS(Data_Annual_BS!$D:$D,Data_Annual_BS!$A:$A,C$5-1,Data_Annual_BS!$C:$C,$B10)</f>
        <v>27102521</v>
      </c>
      <c r="D10" s="153">
        <f>SUMIF(Data_Interim!$C:$C,$B10,Data_Interim!N:N)</f>
        <v>28535386.408074122</v>
      </c>
      <c r="E10" s="58">
        <f t="shared" ref="E10:E39" si="9">D10-C10</f>
        <v>1432865.4080741219</v>
      </c>
      <c r="F10" s="57" t="str">
        <f t="shared" ref="F10:F39" si="10">IF(D10&gt;C10,"▲",IF(D10=C10,"▬","▼"))</f>
        <v>▲</v>
      </c>
      <c r="G10" s="57">
        <f t="shared" ref="G10:G39" si="11">IF(ISERROR(D10/C10-100%),0,D10/C10-100%)</f>
        <v>5.2868344168947257E-2</v>
      </c>
      <c r="H10" s="55"/>
      <c r="I10" s="148"/>
      <c r="J10" s="2">
        <f>SUMIFS(Data_Annual_BS!$D:$D,Data_Annual_BS!$A:$A,J$5-1,Data_Annual_BS!$C:$C,$B10)</f>
        <v>27033841.327179756</v>
      </c>
      <c r="K10" s="153">
        <f>SUMIF(Data_Interim!$C:$C,$B10,Data_Interim!O:O)</f>
        <v>25789838.282860488</v>
      </c>
      <c r="L10" s="58">
        <f t="shared" ref="L10:L39" si="12">K10-J10</f>
        <v>-1244003.0443192683</v>
      </c>
      <c r="M10" s="57" t="str">
        <f t="shared" ref="M10:M39" si="13">IF(K10&gt;J10,"▲",IF(K10=J10,"▬","▼"))</f>
        <v>▼</v>
      </c>
      <c r="N10" s="57">
        <f t="shared" ref="N10:N39" si="14">IF(ISERROR(K10/J10-100%),0,K10/J10-100%)</f>
        <v>-4.60165105381658E-2</v>
      </c>
      <c r="O10" s="55"/>
      <c r="P10" s="148"/>
      <c r="Q10" s="2">
        <f>SUMIFS(Data_Annual_BS!$D:$D,Data_Annual_BS!$A:$A,Q$5-1,Data_Annual_BS!$C:$C,$B10)</f>
        <v>24469502.752227362</v>
      </c>
      <c r="R10" s="153">
        <f>SUMIF(Data_Interim!$C:$C,$B10,Data_Interim!P:P)</f>
        <v>27326940.417188648</v>
      </c>
      <c r="S10" s="58">
        <f t="shared" ref="S10:S39" si="15">R10-Q10</f>
        <v>2857437.6649612859</v>
      </c>
      <c r="T10" s="57" t="str">
        <f t="shared" ref="T10:T39" si="16">IF(R10&gt;Q10,"▲",IF(R10=Q10,"▬","▼"))</f>
        <v>▲</v>
      </c>
      <c r="U10" s="57">
        <f t="shared" ref="U10:U39" si="17">IF(ISERROR(R10/Q10-100%),0,R10/Q10-100%)</f>
        <v>0.11677546919915183</v>
      </c>
      <c r="V10" s="55"/>
      <c r="W10" s="148"/>
    </row>
    <row r="11" spans="1:23" x14ac:dyDescent="0.3">
      <c r="A11" s="3" t="s">
        <v>5</v>
      </c>
      <c r="B11" s="2" t="s">
        <v>167</v>
      </c>
      <c r="C11" s="2">
        <f>SUMIFS(Data_Annual_BS!$D:$D,Data_Annual_BS!$A:$A,C$5-1,Data_Annual_BS!$C:$C,$B11)</f>
        <v>197374</v>
      </c>
      <c r="D11" s="153">
        <f>SUMIF(Data_Interim!$C:$C,$B11,Data_Interim!N:N)</f>
        <v>197373.90000000037</v>
      </c>
      <c r="E11" s="58">
        <f t="shared" si="9"/>
        <v>-9.999999962747097E-2</v>
      </c>
      <c r="F11" s="57" t="str">
        <f t="shared" si="10"/>
        <v>▼</v>
      </c>
      <c r="G11" s="57">
        <f t="shared" si="11"/>
        <v>-5.0665234341273901E-7</v>
      </c>
      <c r="H11" s="55"/>
      <c r="I11" s="148"/>
      <c r="J11" s="2">
        <f>SUMIFS(Data_Annual_BS!$D:$D,Data_Annual_BS!$A:$A,J$5-1,Data_Annual_BS!$C:$C,$B11)</f>
        <v>197373.45</v>
      </c>
      <c r="K11" s="153">
        <f>SUMIF(Data_Interim!$C:$C,$B11,Data_Interim!O:O)</f>
        <v>196973.90000000037</v>
      </c>
      <c r="L11" s="58">
        <f t="shared" si="12"/>
        <v>-399.54999999963911</v>
      </c>
      <c r="M11" s="57" t="str">
        <f t="shared" si="13"/>
        <v>▼</v>
      </c>
      <c r="N11" s="57">
        <f t="shared" si="14"/>
        <v>-2.024335086606821E-3</v>
      </c>
      <c r="O11" s="55"/>
      <c r="P11" s="148"/>
      <c r="Q11" s="2">
        <f>SUMIFS(Data_Annual_BS!$D:$D,Data_Annual_BS!$A:$A,Q$5-1,Data_Annual_BS!$C:$C,$B11)</f>
        <v>196963.95</v>
      </c>
      <c r="R11" s="153">
        <f>SUMIF(Data_Interim!$C:$C,$B11,Data_Interim!P:P)</f>
        <v>196964.40000000037</v>
      </c>
      <c r="S11" s="58">
        <f t="shared" si="15"/>
        <v>0.4500000003608875</v>
      </c>
      <c r="T11" s="57" t="str">
        <f t="shared" si="16"/>
        <v>▲</v>
      </c>
      <c r="U11" s="57">
        <f t="shared" si="17"/>
        <v>2.284682046438391E-6</v>
      </c>
      <c r="V11" s="55"/>
      <c r="W11" s="148"/>
    </row>
    <row r="12" spans="1:23" ht="15" thickBot="1" x14ac:dyDescent="0.35">
      <c r="A12" s="2" t="s">
        <v>6</v>
      </c>
      <c r="B12" s="2" t="s">
        <v>206</v>
      </c>
      <c r="C12" s="2">
        <f>SUMIFS(Data_Annual_BS!$D:$D,Data_Annual_BS!$A:$A,C$5-1,Data_Annual_BS!$C:$C,$B12)</f>
        <v>217472</v>
      </c>
      <c r="D12" s="153">
        <f>SUMIF(Data_Interim!$C:$C,$B12,Data_Interim!N:N)</f>
        <v>983103.45</v>
      </c>
      <c r="E12" s="58">
        <f t="shared" si="9"/>
        <v>765631.45</v>
      </c>
      <c r="F12" s="57" t="str">
        <f t="shared" si="10"/>
        <v>▲</v>
      </c>
      <c r="G12" s="57">
        <f t="shared" si="11"/>
        <v>3.5205978240876981</v>
      </c>
      <c r="H12" s="55"/>
      <c r="I12" s="148"/>
      <c r="J12" s="2">
        <f>SUMIFS(Data_Annual_BS!$D:$D,Data_Annual_BS!$A:$A,J$5-1,Data_Annual_BS!$C:$C,$B12)</f>
        <v>195396.25</v>
      </c>
      <c r="K12" s="153">
        <f>SUMIF(Data_Interim!$C:$C,$B12,Data_Interim!O:O)</f>
        <v>0</v>
      </c>
      <c r="L12" s="58">
        <f t="shared" si="12"/>
        <v>-195396.25</v>
      </c>
      <c r="M12" s="57" t="str">
        <f t="shared" si="13"/>
        <v>▼</v>
      </c>
      <c r="N12" s="57">
        <f t="shared" si="14"/>
        <v>-1</v>
      </c>
      <c r="O12" s="55"/>
      <c r="P12" s="148"/>
      <c r="Q12" s="2">
        <f>SUMIFS(Data_Annual_BS!$D:$D,Data_Annual_BS!$A:$A,Q$5-1,Data_Annual_BS!$C:$C,$B12)</f>
        <v>100000</v>
      </c>
      <c r="R12" s="153">
        <f>SUMIF(Data_Interim!$C:$C,$B12,Data_Interim!P:P)</f>
        <v>100000</v>
      </c>
      <c r="S12" s="58">
        <f t="shared" si="15"/>
        <v>0</v>
      </c>
      <c r="T12" s="57" t="str">
        <f t="shared" si="16"/>
        <v>▬</v>
      </c>
      <c r="U12" s="57">
        <f t="shared" si="17"/>
        <v>0</v>
      </c>
      <c r="V12" s="55"/>
      <c r="W12" s="148"/>
    </row>
    <row r="13" spans="1:23" ht="15" thickBot="1" x14ac:dyDescent="0.35">
      <c r="A13" s="4" t="s">
        <v>7</v>
      </c>
      <c r="B13" s="4" t="s">
        <v>8</v>
      </c>
      <c r="C13" s="5">
        <f t="shared" ref="C13" si="18">SUM(C6:C12)</f>
        <v>218141982</v>
      </c>
      <c r="D13" s="154">
        <f>SUM(D6:D12)</f>
        <v>210209052.78010061</v>
      </c>
      <c r="E13" s="5">
        <f t="shared" si="9"/>
        <v>-7932929.2198993862</v>
      </c>
      <c r="F13" s="39" t="str">
        <f t="shared" si="10"/>
        <v>▼</v>
      </c>
      <c r="G13" s="6">
        <f t="shared" si="11"/>
        <v>-3.6365898701238519E-2</v>
      </c>
      <c r="H13" s="55"/>
      <c r="I13" s="148"/>
      <c r="J13" s="5">
        <f t="shared" ref="J13" si="19">SUM(J6:J12)</f>
        <v>198403905.9006781</v>
      </c>
      <c r="K13" s="154">
        <f>SUM(K6:K12)</f>
        <v>187149147.89116403</v>
      </c>
      <c r="L13" s="5">
        <f t="shared" si="12"/>
        <v>-11254758.009514064</v>
      </c>
      <c r="M13" s="39" t="str">
        <f t="shared" si="13"/>
        <v>▼</v>
      </c>
      <c r="N13" s="6">
        <f t="shared" si="14"/>
        <v>-5.6726494160595053E-2</v>
      </c>
      <c r="O13" s="55"/>
      <c r="P13" s="148"/>
      <c r="Q13" s="5">
        <f t="shared" ref="Q13" si="20">SUM(Q6:Q12)</f>
        <v>181875186.31763047</v>
      </c>
      <c r="R13" s="154">
        <f>SUM(R6:R12)</f>
        <v>173961193.30432338</v>
      </c>
      <c r="S13" s="5">
        <f t="shared" si="15"/>
        <v>-7913993.0133070946</v>
      </c>
      <c r="T13" s="39" t="str">
        <f t="shared" si="16"/>
        <v>▼</v>
      </c>
      <c r="U13" s="6">
        <f t="shared" si="17"/>
        <v>-4.3513319070837664E-2</v>
      </c>
      <c r="V13" s="55"/>
      <c r="W13" s="148"/>
    </row>
    <row r="14" spans="1:23" x14ac:dyDescent="0.3">
      <c r="A14" s="2" t="s">
        <v>9</v>
      </c>
      <c r="B14" s="2" t="s">
        <v>170</v>
      </c>
      <c r="C14" s="2">
        <f>SUMIFS(Data_Annual_BS!$D:$D,Data_Annual_BS!$A:$A,C$5-1,Data_Annual_BS!$C:$C,$B14)</f>
        <v>36243315</v>
      </c>
      <c r="D14" s="153">
        <f>SUMIF(Data_Interim!$C:$C,$B14,Data_Interim!N:N)</f>
        <v>38856987.388294674</v>
      </c>
      <c r="E14" s="58">
        <f t="shared" si="9"/>
        <v>2613672.3882946745</v>
      </c>
      <c r="F14" s="57" t="str">
        <f t="shared" si="10"/>
        <v>▲</v>
      </c>
      <c r="G14" s="57">
        <f t="shared" si="11"/>
        <v>7.2114606191367336E-2</v>
      </c>
      <c r="H14" s="55"/>
      <c r="I14" s="148"/>
      <c r="J14" s="2">
        <f>SUMIFS(Data_Annual_BS!$D:$D,Data_Annual_BS!$A:$A,J$5-1,Data_Annual_BS!$C:$C,$B14)</f>
        <v>45992535.542492926</v>
      </c>
      <c r="K14" s="153">
        <f>SUMIF(Data_Interim!$C:$C,$B14,Data_Interim!O:O)</f>
        <v>40886258.832292967</v>
      </c>
      <c r="L14" s="58">
        <f t="shared" si="12"/>
        <v>-5106276.7101999596</v>
      </c>
      <c r="M14" s="57" t="str">
        <f t="shared" si="13"/>
        <v>▼</v>
      </c>
      <c r="N14" s="57">
        <f t="shared" si="14"/>
        <v>-0.11102403139923045</v>
      </c>
      <c r="O14" s="55"/>
      <c r="P14" s="148"/>
      <c r="Q14" s="2">
        <f>SUMIFS(Data_Annual_BS!$D:$D,Data_Annual_BS!$A:$A,Q$5-1,Data_Annual_BS!$C:$C,$B14)</f>
        <v>39267786.496564828</v>
      </c>
      <c r="R14" s="153">
        <f>SUMIF(Data_Interim!$C:$C,$B14,Data_Interim!P:P)</f>
        <v>55287694.80742798</v>
      </c>
      <c r="S14" s="58">
        <f t="shared" si="15"/>
        <v>16019908.310863152</v>
      </c>
      <c r="T14" s="57" t="str">
        <f t="shared" si="16"/>
        <v>▲</v>
      </c>
      <c r="U14" s="57">
        <f t="shared" si="17"/>
        <v>0.4079656568435448</v>
      </c>
      <c r="V14" s="55"/>
      <c r="W14" s="148"/>
    </row>
    <row r="15" spans="1:23" x14ac:dyDescent="0.3">
      <c r="A15" s="2" t="s">
        <v>10</v>
      </c>
      <c r="B15" s="2" t="s">
        <v>171</v>
      </c>
      <c r="C15" s="2">
        <f>SUMIFS(Data_Annual_BS!$D:$D,Data_Annual_BS!$A:$A,C$5-1,Data_Annual_BS!$C:$C,$B15)</f>
        <v>30079464</v>
      </c>
      <c r="D15" s="153">
        <f>SUMIF(Data_Interim!$C:$C,$B15,Data_Interim!N:N)</f>
        <v>40852829.563005954</v>
      </c>
      <c r="E15" s="58">
        <f t="shared" si="9"/>
        <v>10773365.563005954</v>
      </c>
      <c r="F15" s="57" t="str">
        <f t="shared" si="10"/>
        <v>▲</v>
      </c>
      <c r="G15" s="57">
        <f t="shared" si="11"/>
        <v>0.35816348200240378</v>
      </c>
      <c r="H15" s="55"/>
      <c r="I15" s="148"/>
      <c r="J15" s="2">
        <f>SUMIFS(Data_Annual_BS!$D:$D,Data_Annual_BS!$A:$A,J$5-1,Data_Annual_BS!$C:$C,$B15)</f>
        <v>34018157.882699974</v>
      </c>
      <c r="K15" s="153">
        <f>SUMIF(Data_Interim!$C:$C,$B15,Data_Interim!O:O)</f>
        <v>40712438.085505947</v>
      </c>
      <c r="L15" s="58">
        <f t="shared" si="12"/>
        <v>6694280.2028059736</v>
      </c>
      <c r="M15" s="57" t="str">
        <f t="shared" si="13"/>
        <v>▲</v>
      </c>
      <c r="N15" s="57">
        <f t="shared" si="14"/>
        <v>0.19678549984655014</v>
      </c>
      <c r="O15" s="55"/>
      <c r="P15" s="148"/>
      <c r="Q15" s="2">
        <f>SUMIFS(Data_Annual_BS!$D:$D,Data_Annual_BS!$A:$A,Q$5-1,Data_Annual_BS!$C:$C,$B15)</f>
        <v>36158571.175505936</v>
      </c>
      <c r="R15" s="153">
        <f>SUMIF(Data_Interim!$C:$C,$B15,Data_Interim!P:P)</f>
        <v>57105579.01550597</v>
      </c>
      <c r="S15" s="58">
        <f t="shared" si="15"/>
        <v>20947007.840000033</v>
      </c>
      <c r="T15" s="57" t="str">
        <f t="shared" si="16"/>
        <v>▲</v>
      </c>
      <c r="U15" s="57">
        <f t="shared" si="17"/>
        <v>0.57930961205097842</v>
      </c>
      <c r="V15" s="55"/>
      <c r="W15" s="148"/>
    </row>
    <row r="16" spans="1:23" x14ac:dyDescent="0.3">
      <c r="A16" s="2" t="s">
        <v>11</v>
      </c>
      <c r="B16" s="2" t="s">
        <v>172</v>
      </c>
      <c r="C16" s="2">
        <f>SUMIFS(Data_Annual_BS!$D:$D,Data_Annual_BS!$A:$A,C$5-1,Data_Annual_BS!$C:$C,$B16)</f>
        <v>0</v>
      </c>
      <c r="D16" s="153">
        <f>SUMIF(Data_Interim!$C:$C,$B16,Data_Interim!N:N)</f>
        <v>179924.44</v>
      </c>
      <c r="E16" s="58">
        <f t="shared" si="9"/>
        <v>179924.44</v>
      </c>
      <c r="F16" s="57" t="str">
        <f t="shared" si="10"/>
        <v>▲</v>
      </c>
      <c r="G16" s="57">
        <f t="shared" si="11"/>
        <v>0</v>
      </c>
      <c r="H16" s="55"/>
      <c r="I16" s="148"/>
      <c r="J16" s="2">
        <f>SUMIFS(Data_Annual_BS!$D:$D,Data_Annual_BS!$A:$A,J$5-1,Data_Annual_BS!$C:$C,$B16)</f>
        <v>2389649.9115479453</v>
      </c>
      <c r="K16" s="153">
        <f>SUMIF(Data_Interim!$C:$C,$B16,Data_Interim!O:O)</f>
        <v>1164576.8999999999</v>
      </c>
      <c r="L16" s="58">
        <f t="shared" si="12"/>
        <v>-1225073.0115479454</v>
      </c>
      <c r="M16" s="57" t="str">
        <f t="shared" si="13"/>
        <v>▼</v>
      </c>
      <c r="N16" s="57">
        <f t="shared" si="14"/>
        <v>-0.51265794442432733</v>
      </c>
      <c r="O16" s="55"/>
      <c r="P16" s="148"/>
      <c r="Q16" s="2">
        <f>SUMIFS(Data_Annual_BS!$D:$D,Data_Annual_BS!$A:$A,Q$5-1,Data_Annual_BS!$C:$C,$B16)</f>
        <v>181047.34791506856</v>
      </c>
      <c r="R16" s="153">
        <f>SUMIF(Data_Interim!$C:$C,$B16,Data_Interim!P:P)</f>
        <v>181047.01000000007</v>
      </c>
      <c r="S16" s="58">
        <f t="shared" si="15"/>
        <v>-0.33791506849229336</v>
      </c>
      <c r="T16" s="57" t="str">
        <f t="shared" si="16"/>
        <v>▼</v>
      </c>
      <c r="U16" s="57">
        <f t="shared" si="17"/>
        <v>-1.8664458352191104E-6</v>
      </c>
      <c r="V16" s="55"/>
      <c r="W16" s="148"/>
    </row>
    <row r="17" spans="1:23" x14ac:dyDescent="0.3">
      <c r="A17" s="2" t="s">
        <v>12</v>
      </c>
      <c r="B17" s="7" t="s">
        <v>173</v>
      </c>
      <c r="C17" s="7">
        <f>SUMIFS(Data_Annual_BS!$D:$D,Data_Annual_BS!$A:$A,C$5-1,Data_Annual_BS!$C:$C,$B17)</f>
        <v>1134203</v>
      </c>
      <c r="D17" s="155">
        <f>SUMIF(Data_Interim!$C:$C,$B17,Data_Interim!N:N)</f>
        <v>1394932.48655</v>
      </c>
      <c r="E17" s="58">
        <f t="shared" si="9"/>
        <v>260729.48655000003</v>
      </c>
      <c r="F17" s="57" t="str">
        <f t="shared" si="10"/>
        <v>▲</v>
      </c>
      <c r="G17" s="57">
        <f>IF(ISERROR(D17/C17-100%),0,D17/C17-100%)</f>
        <v>0.22987903095830298</v>
      </c>
      <c r="H17" s="55"/>
      <c r="I17" s="148"/>
      <c r="J17" s="7">
        <f>SUMIFS(Data_Annual_BS!$D:$D,Data_Annual_BS!$A:$A,J$5-1,Data_Annual_BS!$C:$C,$B17)</f>
        <v>1496725.5565500001</v>
      </c>
      <c r="K17" s="155">
        <f>SUMIF(Data_Interim!$C:$C,$B17,Data_Interim!O:O)</f>
        <v>1582111.2865500001</v>
      </c>
      <c r="L17" s="58">
        <f t="shared" si="12"/>
        <v>85385.729999999981</v>
      </c>
      <c r="M17" s="57" t="str">
        <f t="shared" si="13"/>
        <v>▲</v>
      </c>
      <c r="N17" s="57">
        <f t="shared" si="14"/>
        <v>5.7048354406947333E-2</v>
      </c>
      <c r="O17" s="55"/>
      <c r="P17" s="148"/>
      <c r="Q17" s="7">
        <f>SUMIFS(Data_Annual_BS!$D:$D,Data_Annual_BS!$A:$A,Q$5-1,Data_Annual_BS!$C:$C,$B17)</f>
        <v>1236390.7065499998</v>
      </c>
      <c r="R17" s="155">
        <f>SUMIF(Data_Interim!$C:$C,$B17,Data_Interim!P:P)</f>
        <v>1445542.23655</v>
      </c>
      <c r="S17" s="58">
        <f t="shared" si="15"/>
        <v>209151.53000000026</v>
      </c>
      <c r="T17" s="57" t="str">
        <f t="shared" si="16"/>
        <v>▲</v>
      </c>
      <c r="U17" s="57">
        <f t="shared" si="17"/>
        <v>0.16916297485251452</v>
      </c>
      <c r="V17" s="55"/>
      <c r="W17" s="148"/>
    </row>
    <row r="18" spans="1:23" x14ac:dyDescent="0.3">
      <c r="A18" s="2" t="s">
        <v>13</v>
      </c>
      <c r="B18" s="2" t="s">
        <v>174</v>
      </c>
      <c r="C18" s="2">
        <f>SUMIFS(Data_Annual_BS!$D:$D,Data_Annual_BS!$A:$A,C$5-1,Data_Annual_BS!$C:$C,$B18)</f>
        <v>9899542</v>
      </c>
      <c r="D18" s="153">
        <f>SUMIF(Data_Interim!$C:$C,$B18,Data_Interim!N:N)</f>
        <v>5280199.2471970003</v>
      </c>
      <c r="E18" s="58">
        <f t="shared" si="9"/>
        <v>-4619342.7528029997</v>
      </c>
      <c r="F18" s="57" t="str">
        <f t="shared" si="10"/>
        <v>▼</v>
      </c>
      <c r="G18" s="57">
        <f t="shared" si="11"/>
        <v>-0.46662186521386539</v>
      </c>
      <c r="H18" s="55"/>
      <c r="I18" s="148"/>
      <c r="J18" s="2">
        <f>SUMIFS(Data_Annual_BS!$D:$D,Data_Annual_BS!$A:$A,J$5-1,Data_Annual_BS!$C:$C,$B18)</f>
        <v>9849170.4968970008</v>
      </c>
      <c r="K18" s="153">
        <f>SUMIF(Data_Interim!$C:$C,$B18,Data_Interim!O:O)</f>
        <v>16104330.419686999</v>
      </c>
      <c r="L18" s="58">
        <f t="shared" si="12"/>
        <v>6255159.9227899984</v>
      </c>
      <c r="M18" s="57" t="str">
        <f t="shared" si="13"/>
        <v>▲</v>
      </c>
      <c r="N18" s="57">
        <f t="shared" si="14"/>
        <v>0.63509510011637005</v>
      </c>
      <c r="O18" s="55"/>
      <c r="P18" s="148"/>
      <c r="Q18" s="2">
        <f>SUMIFS(Data_Annual_BS!$D:$D,Data_Annual_BS!$A:$A,Q$5-1,Data_Annual_BS!$C:$C,$B18)</f>
        <v>20704631.823772997</v>
      </c>
      <c r="R18" s="153">
        <f>SUMIF(Data_Interim!$C:$C,$B18,Data_Interim!P:P)</f>
        <v>12389833.057557</v>
      </c>
      <c r="S18" s="58">
        <f t="shared" si="15"/>
        <v>-8314798.7662159968</v>
      </c>
      <c r="T18" s="57" t="str">
        <f t="shared" si="16"/>
        <v>▼</v>
      </c>
      <c r="U18" s="57">
        <f t="shared" si="17"/>
        <v>-0.40159123992096157</v>
      </c>
      <c r="V18" s="55"/>
      <c r="W18" s="148"/>
    </row>
    <row r="19" spans="1:23" ht="15" thickBot="1" x14ac:dyDescent="0.35">
      <c r="A19" s="2" t="s">
        <v>14</v>
      </c>
      <c r="B19" s="2" t="s">
        <v>169</v>
      </c>
      <c r="C19" s="2">
        <f>SUMIFS(Data_Annual_BS!$D:$D,Data_Annual_BS!$A:$A,C$5-1,Data_Annual_BS!$C:$C,$B19)</f>
        <v>16000390</v>
      </c>
      <c r="D19" s="153">
        <f>SUMIF(Data_Interim!$C:$C,$B19,Data_Interim!N:N)</f>
        <v>10136261</v>
      </c>
      <c r="E19" s="58">
        <f t="shared" si="9"/>
        <v>-5864129</v>
      </c>
      <c r="F19" s="57" t="str">
        <f t="shared" si="10"/>
        <v>▼</v>
      </c>
      <c r="G19" s="57">
        <f t="shared" si="11"/>
        <v>-0.36649912908372861</v>
      </c>
      <c r="H19" s="55"/>
      <c r="I19" s="148"/>
      <c r="J19" s="2">
        <f>SUMIFS(Data_Annual_BS!$D:$D,Data_Annual_BS!$A:$A,J$5-1,Data_Annual_BS!$C:$C,$B19)</f>
        <v>6873002.5300000003</v>
      </c>
      <c r="K19" s="153">
        <f>SUMIF(Data_Interim!$C:$C,$B19,Data_Interim!O:O)</f>
        <v>2576681.58</v>
      </c>
      <c r="L19" s="58">
        <f t="shared" si="12"/>
        <v>-4296320.95</v>
      </c>
      <c r="M19" s="57" t="str">
        <f t="shared" si="13"/>
        <v>▼</v>
      </c>
      <c r="N19" s="57">
        <f t="shared" si="14"/>
        <v>-0.62510102844382343</v>
      </c>
      <c r="O19" s="55"/>
      <c r="P19" s="148"/>
      <c r="Q19" s="2">
        <f>SUMIFS(Data_Annual_BS!$D:$D,Data_Annual_BS!$A:$A,Q$5-1,Data_Annual_BS!$C:$C,$B19)</f>
        <v>70844.84</v>
      </c>
      <c r="R19" s="153">
        <f>SUMIF(Data_Interim!$C:$C,$B19,Data_Interim!P:P)</f>
        <v>70845</v>
      </c>
      <c r="S19" s="58">
        <f t="shared" si="15"/>
        <v>0.16000000000349246</v>
      </c>
      <c r="T19" s="57" t="str">
        <f t="shared" si="16"/>
        <v>▲</v>
      </c>
      <c r="U19" s="57">
        <f t="shared" si="17"/>
        <v>2.2584566499173064E-6</v>
      </c>
      <c r="V19" s="55"/>
      <c r="W19" s="148"/>
    </row>
    <row r="20" spans="1:23" ht="15" thickBot="1" x14ac:dyDescent="0.35">
      <c r="A20" s="4" t="s">
        <v>15</v>
      </c>
      <c r="B20" s="4" t="s">
        <v>16</v>
      </c>
      <c r="C20" s="5">
        <f>SUM(C14:C19)</f>
        <v>93356914</v>
      </c>
      <c r="D20" s="154">
        <f>SUM(D14:D19)</f>
        <v>96701134.125047624</v>
      </c>
      <c r="E20" s="5">
        <f t="shared" si="9"/>
        <v>3344220.1250476241</v>
      </c>
      <c r="F20" s="39" t="str">
        <f t="shared" si="10"/>
        <v>▲</v>
      </c>
      <c r="G20" s="6">
        <f t="shared" si="11"/>
        <v>3.5821879513365573E-2</v>
      </c>
      <c r="H20" s="55"/>
      <c r="I20" s="148"/>
      <c r="J20" s="5">
        <f>SUM(J14:J19)</f>
        <v>100619241.92018783</v>
      </c>
      <c r="K20" s="154">
        <f>SUM(K14:K19)</f>
        <v>103026397.10403591</v>
      </c>
      <c r="L20" s="5">
        <f t="shared" si="12"/>
        <v>2407155.183848083</v>
      </c>
      <c r="M20" s="39" t="str">
        <f t="shared" si="13"/>
        <v>▲</v>
      </c>
      <c r="N20" s="6">
        <f t="shared" si="14"/>
        <v>2.3923408066992335E-2</v>
      </c>
      <c r="O20" s="55"/>
      <c r="P20" s="148"/>
      <c r="Q20" s="5">
        <f>SUM(Q14:Q19)</f>
        <v>97619272.390308842</v>
      </c>
      <c r="R20" s="154">
        <f>SUM(R14:R19)</f>
        <v>126480541.12704095</v>
      </c>
      <c r="S20" s="5">
        <f t="shared" si="15"/>
        <v>28861268.73673211</v>
      </c>
      <c r="T20" s="39" t="str">
        <f t="shared" si="16"/>
        <v>▲</v>
      </c>
      <c r="U20" s="6">
        <f t="shared" si="17"/>
        <v>0.29565134045802743</v>
      </c>
      <c r="V20" s="55"/>
      <c r="W20" s="148"/>
    </row>
    <row r="21" spans="1:23" ht="15" thickBot="1" x14ac:dyDescent="0.35">
      <c r="A21" s="4" t="s">
        <v>17</v>
      </c>
      <c r="B21" s="4" t="s">
        <v>18</v>
      </c>
      <c r="C21" s="5">
        <f>C20+C13</f>
        <v>311498896</v>
      </c>
      <c r="D21" s="154">
        <f>D20+D13</f>
        <v>306910186.90514827</v>
      </c>
      <c r="E21" s="5">
        <f t="shared" si="9"/>
        <v>-4588709.0948517323</v>
      </c>
      <c r="F21" s="39" t="str">
        <f t="shared" si="10"/>
        <v>▼</v>
      </c>
      <c r="G21" s="6">
        <f t="shared" si="11"/>
        <v>-1.4731060539141416E-2</v>
      </c>
      <c r="H21" s="55"/>
      <c r="I21" s="148"/>
      <c r="J21" s="5">
        <f>J20+J13</f>
        <v>299023147.82086593</v>
      </c>
      <c r="K21" s="154">
        <f>K20+K13</f>
        <v>290175544.99519992</v>
      </c>
      <c r="L21" s="5">
        <f t="shared" si="12"/>
        <v>-8847602.8256660104</v>
      </c>
      <c r="M21" s="39" t="str">
        <f t="shared" si="13"/>
        <v>▼</v>
      </c>
      <c r="N21" s="6">
        <f t="shared" si="14"/>
        <v>-2.9588354246629422E-2</v>
      </c>
      <c r="O21" s="55"/>
      <c r="P21" s="148"/>
      <c r="Q21" s="5">
        <f>Q20+Q13</f>
        <v>279494458.70793933</v>
      </c>
      <c r="R21" s="154">
        <f>R20+R13</f>
        <v>300441734.4313643</v>
      </c>
      <c r="S21" s="5">
        <f t="shared" si="15"/>
        <v>20947275.723424971</v>
      </c>
      <c r="T21" s="39" t="str">
        <f t="shared" si="16"/>
        <v>▲</v>
      </c>
      <c r="U21" s="6">
        <f t="shared" si="17"/>
        <v>7.4947016195816785E-2</v>
      </c>
      <c r="V21" s="55"/>
      <c r="W21" s="148"/>
    </row>
    <row r="22" spans="1:23" x14ac:dyDescent="0.3">
      <c r="A22" s="2" t="s">
        <v>19</v>
      </c>
      <c r="B22" s="2" t="s">
        <v>20</v>
      </c>
      <c r="C22" s="2">
        <f>SUMIFS(Data_Annual_BS!$D:$D,Data_Annual_BS!$A:$A,C$5-1,Data_Annual_BS!$C:$C,$B22)</f>
        <v>26412210</v>
      </c>
      <c r="D22" s="153">
        <f>SUMIF(Data_Interim!$C:$C,$B22,Data_Interim!N:N)</f>
        <v>26412210.343439996</v>
      </c>
      <c r="E22" s="58">
        <f t="shared" si="9"/>
        <v>0.34343999624252319</v>
      </c>
      <c r="F22" s="57" t="str">
        <f t="shared" si="10"/>
        <v>▲</v>
      </c>
      <c r="G22" s="57">
        <f t="shared" si="11"/>
        <v>1.3003076837492245E-8</v>
      </c>
      <c r="H22" s="55"/>
      <c r="I22" s="148"/>
      <c r="J22" s="2">
        <f>SUMIFS(Data_Annual_BS!$D:$D,Data_Annual_BS!$A:$A,J$5-1,Data_Annual_BS!$C:$C,$B22)</f>
        <v>26412209.943440005</v>
      </c>
      <c r="K22" s="153">
        <f>SUMIF(Data_Interim!$C:$C,$B22,Data_Interim!O:O)</f>
        <v>26412210.343440004</v>
      </c>
      <c r="L22" s="58">
        <f t="shared" si="12"/>
        <v>0.39999999850988388</v>
      </c>
      <c r="M22" s="57" t="str">
        <f t="shared" si="13"/>
        <v>▲</v>
      </c>
      <c r="N22" s="57">
        <f t="shared" si="14"/>
        <v>1.5144510756570639E-8</v>
      </c>
      <c r="O22" s="55"/>
      <c r="P22" s="148"/>
      <c r="Q22" s="2">
        <f>SUMIFS(Data_Annual_BS!$D:$D,Data_Annual_BS!$A:$A,Q$5-1,Data_Annual_BS!$C:$C,$B22)</f>
        <v>26412209.943440005</v>
      </c>
      <c r="R22" s="153">
        <f>SUMIF(Data_Interim!$C:$C,$B22,Data_Interim!P:P)</f>
        <v>26412210.343440004</v>
      </c>
      <c r="S22" s="58">
        <f t="shared" si="15"/>
        <v>0.39999999850988388</v>
      </c>
      <c r="T22" s="57" t="str">
        <f t="shared" si="16"/>
        <v>▲</v>
      </c>
      <c r="U22" s="57">
        <f t="shared" si="17"/>
        <v>1.5144510756570639E-8</v>
      </c>
      <c r="V22" s="55"/>
      <c r="W22" s="148"/>
    </row>
    <row r="23" spans="1:23" x14ac:dyDescent="0.3">
      <c r="A23" s="2" t="s">
        <v>21</v>
      </c>
      <c r="B23" s="2" t="s">
        <v>22</v>
      </c>
      <c r="C23" s="2">
        <f>SUMIFS(Data_Annual_BS!$D:$D,Data_Annual_BS!$A:$A,C$5-1,Data_Annual_BS!$C:$C,$B23)</f>
        <v>2182483</v>
      </c>
      <c r="D23" s="153">
        <f>SUMIF(Data_Interim!$C:$C,$B23,Data_Interim!N:N)</f>
        <v>2182283.0000000005</v>
      </c>
      <c r="E23" s="58">
        <f t="shared" si="9"/>
        <v>-199.99999999953434</v>
      </c>
      <c r="F23" s="57" t="str">
        <f t="shared" si="10"/>
        <v>▼</v>
      </c>
      <c r="G23" s="57">
        <f t="shared" si="11"/>
        <v>-9.1638743577648896E-5</v>
      </c>
      <c r="H23" s="55"/>
      <c r="I23" s="148"/>
      <c r="J23" s="2">
        <f>SUMIFS(Data_Annual_BS!$D:$D,Data_Annual_BS!$A:$A,J$5-1,Data_Annual_BS!$C:$C,$B23)</f>
        <v>2182283.2899999991</v>
      </c>
      <c r="K23" s="153">
        <f>SUMIF(Data_Interim!$C:$C,$B23,Data_Interim!O:O)</f>
        <v>2182283</v>
      </c>
      <c r="L23" s="58">
        <f t="shared" si="12"/>
        <v>-0.28999999910593033</v>
      </c>
      <c r="M23" s="57" t="str">
        <f t="shared" si="13"/>
        <v>▼</v>
      </c>
      <c r="N23" s="57">
        <f t="shared" si="14"/>
        <v>-1.3288833788926979E-7</v>
      </c>
      <c r="O23" s="55"/>
      <c r="P23" s="148"/>
      <c r="Q23" s="2">
        <f>SUMIFS(Data_Annual_BS!$D:$D,Data_Annual_BS!$A:$A,Q$5-1,Data_Annual_BS!$C:$C,$B23)</f>
        <v>2182283.2899999991</v>
      </c>
      <c r="R23" s="153">
        <f>SUMIF(Data_Interim!$C:$C,$B23,Data_Interim!P:P)</f>
        <v>2182283</v>
      </c>
      <c r="S23" s="58">
        <f t="shared" si="15"/>
        <v>-0.28999999910593033</v>
      </c>
      <c r="T23" s="57" t="str">
        <f t="shared" si="16"/>
        <v>▼</v>
      </c>
      <c r="U23" s="57">
        <f t="shared" si="17"/>
        <v>-1.3288833788926979E-7</v>
      </c>
      <c r="V23" s="55"/>
      <c r="W23" s="148"/>
    </row>
    <row r="24" spans="1:23" x14ac:dyDescent="0.3">
      <c r="A24" s="2" t="s">
        <v>23</v>
      </c>
      <c r="B24" s="2" t="s">
        <v>175</v>
      </c>
      <c r="C24" s="2">
        <f>SUMIFS(Data_Annual_BS!$D:$D,Data_Annual_BS!$A:$A,C$5-1,Data_Annual_BS!$C:$C,$B24)</f>
        <v>60137391</v>
      </c>
      <c r="D24" s="153">
        <f>SUMIF(Data_Interim!$C:$C,$B24,Data_Interim!N:N)</f>
        <v>59566304.240976468</v>
      </c>
      <c r="E24" s="58">
        <f t="shared" si="9"/>
        <v>-571086.75902353227</v>
      </c>
      <c r="F24" s="57" t="str">
        <f t="shared" si="10"/>
        <v>▼</v>
      </c>
      <c r="G24" s="57">
        <f t="shared" si="11"/>
        <v>-9.4963673935161141E-3</v>
      </c>
      <c r="H24" s="55"/>
      <c r="I24" s="148"/>
      <c r="J24" s="2">
        <f>SUMIFS(Data_Annual_BS!$D:$D,Data_Annual_BS!$A:$A,J$5-1,Data_Annual_BS!$C:$C,$B24)</f>
        <v>60489520.997961394</v>
      </c>
      <c r="K24" s="153">
        <f>SUMIF(Data_Interim!$C:$C,$B24,Data_Interim!O:O)</f>
        <v>59943604.88875024</v>
      </c>
      <c r="L24" s="58">
        <f t="shared" si="12"/>
        <v>-545916.10921115428</v>
      </c>
      <c r="M24" s="57" t="str">
        <f t="shared" si="13"/>
        <v>▼</v>
      </c>
      <c r="N24" s="57">
        <f t="shared" si="14"/>
        <v>-9.0249699485891455E-3</v>
      </c>
      <c r="O24" s="55"/>
      <c r="P24" s="148"/>
      <c r="Q24" s="2">
        <f>SUMIFS(Data_Annual_BS!$D:$D,Data_Annual_BS!$A:$A,Q$5-1,Data_Annual_BS!$C:$C,$B24)</f>
        <v>60969077.209163398</v>
      </c>
      <c r="R24" s="153">
        <f>SUMIF(Data_Interim!$C:$C,$B24,Data_Interim!P:P)</f>
        <v>60803936.518227242</v>
      </c>
      <c r="S24" s="58">
        <f t="shared" si="15"/>
        <v>-165140.69093615562</v>
      </c>
      <c r="T24" s="57" t="str">
        <f t="shared" si="16"/>
        <v>▼</v>
      </c>
      <c r="U24" s="57">
        <f t="shared" si="17"/>
        <v>-2.7085975136151852E-3</v>
      </c>
      <c r="V24" s="55"/>
      <c r="W24" s="148"/>
    </row>
    <row r="25" spans="1:23" x14ac:dyDescent="0.3">
      <c r="A25" s="2"/>
      <c r="B25" s="2" t="s">
        <v>25</v>
      </c>
      <c r="C25" s="2">
        <f>SUMIFS(Data_Annual_BS!$D:$D,Data_Annual_BS!$A:$A,C$5-1,Data_Annual_BS!$C:$C,$B25)</f>
        <v>52896580</v>
      </c>
      <c r="D25" s="153">
        <f>SUMIF(Data_Interim!$C:$C,$B25,Data_Interim!N:N)</f>
        <v>52618585.808592618</v>
      </c>
      <c r="E25" s="58">
        <f t="shared" ref="E25" si="21">D25-C25</f>
        <v>-277994.19140738249</v>
      </c>
      <c r="F25" s="57" t="str">
        <f t="shared" ref="F25" si="22">IF(D25&gt;C25,"▲",IF(D25=C25,"▬","▼"))</f>
        <v>▼</v>
      </c>
      <c r="G25" s="57">
        <f t="shared" ref="G25" si="23">IF(ISERROR(D25/C25-100%),0,D25/C25-100%)</f>
        <v>-5.2554284493889769E-3</v>
      </c>
      <c r="H25" s="55"/>
      <c r="I25" s="148"/>
      <c r="J25" s="2">
        <f>SUMIFS(Data_Annual_BS!$D:$D,Data_Annual_BS!$A:$A,J$5-1,Data_Annual_BS!$C:$C,$B25)</f>
        <v>49570020.627917819</v>
      </c>
      <c r="K25" s="153">
        <f>SUMIF(Data_Interim!$C:$C,$B25,Data_Interim!O:O)</f>
        <v>52567884.209004231</v>
      </c>
      <c r="L25" s="58">
        <f t="shared" ref="L25" si="24">K25-J25</f>
        <v>2997863.5810864121</v>
      </c>
      <c r="M25" s="57" t="str">
        <f t="shared" ref="M25:M26" si="25">IF(K25&gt;J25,"▲",IF(K25=J25,"▬","▼"))</f>
        <v>▲</v>
      </c>
      <c r="N25" s="57">
        <f t="shared" ref="N25:N26" si="26">IF(ISERROR(K25/J25-100%),0,K25/J25-100%)</f>
        <v>6.047735189761072E-2</v>
      </c>
      <c r="O25" s="55"/>
      <c r="P25" s="148"/>
      <c r="Q25" s="2">
        <f>SUMIFS(Data_Annual_BS!$D:$D,Data_Annual_BS!$A:$A,Q$5-1,Data_Annual_BS!$C:$C,$B25)</f>
        <v>49238098.287676029</v>
      </c>
      <c r="R25" s="153">
        <f>SUMIF(Data_Interim!$C:$C,$B25,Data_Interim!P:P)</f>
        <v>52470280.655825526</v>
      </c>
      <c r="S25" s="58">
        <f t="shared" ref="S25" si="27">R25-Q25</f>
        <v>3232182.3681494966</v>
      </c>
      <c r="T25" s="57" t="str">
        <f t="shared" ref="T25:T26" si="28">IF(R25&gt;Q25,"▲",IF(R25=Q25,"▬","▼"))</f>
        <v>▲</v>
      </c>
      <c r="U25" s="57">
        <f t="shared" ref="U25:U26" si="29">IF(ISERROR(R25/Q25-100%),0,R25/Q25-100%)</f>
        <v>6.5643931844510117E-2</v>
      </c>
      <c r="V25" s="55"/>
      <c r="W25" s="148"/>
    </row>
    <row r="26" spans="1:23" x14ac:dyDescent="0.3">
      <c r="A26" s="2"/>
      <c r="B26" s="2" t="s">
        <v>217</v>
      </c>
      <c r="C26" s="2">
        <f>SUM(C22:C25)</f>
        <v>141628664</v>
      </c>
      <c r="D26" s="153">
        <f t="shared" ref="D26:S26" si="30">SUM(D22:D25)</f>
        <v>140779383.39300907</v>
      </c>
      <c r="E26" s="58">
        <f t="shared" si="30"/>
        <v>-849280.60699091805</v>
      </c>
      <c r="F26" s="57" t="str">
        <f t="shared" ref="F26" si="31">IF(D26&gt;C26,"▲",IF(D26=C26,"▬","▼"))</f>
        <v>▼</v>
      </c>
      <c r="G26" s="57">
        <f t="shared" ref="G26" si="32">IF(ISERROR(D26/C26-100%),0,D26/C26-100%)</f>
        <v>-5.9965305257058121E-3</v>
      </c>
      <c r="H26" s="55">
        <f t="shared" si="30"/>
        <v>0</v>
      </c>
      <c r="I26" s="148"/>
      <c r="J26" s="2">
        <f t="shared" si="30"/>
        <v>138654034.85931921</v>
      </c>
      <c r="K26" s="153">
        <f t="shared" si="30"/>
        <v>141105982.44119447</v>
      </c>
      <c r="L26" s="58">
        <f t="shared" si="30"/>
        <v>2451947.5818752572</v>
      </c>
      <c r="M26" s="57" t="str">
        <f t="shared" si="25"/>
        <v>▲</v>
      </c>
      <c r="N26" s="57">
        <f t="shared" si="26"/>
        <v>1.7683925205372208E-2</v>
      </c>
      <c r="O26" s="55">
        <f t="shared" si="30"/>
        <v>0</v>
      </c>
      <c r="P26" s="148"/>
      <c r="Q26" s="2">
        <f t="shared" si="30"/>
        <v>138801668.73027945</v>
      </c>
      <c r="R26" s="153">
        <f t="shared" si="30"/>
        <v>141868710.51749277</v>
      </c>
      <c r="S26" s="58">
        <f t="shared" si="30"/>
        <v>3067041.7872133404</v>
      </c>
      <c r="T26" s="57" t="str">
        <f t="shared" si="28"/>
        <v>▲</v>
      </c>
      <c r="U26" s="57">
        <f t="shared" si="29"/>
        <v>2.2096577190100053E-2</v>
      </c>
      <c r="V26" s="55"/>
      <c r="W26" s="148"/>
    </row>
    <row r="27" spans="1:23" ht="15" thickBot="1" x14ac:dyDescent="0.35">
      <c r="A27" s="2" t="s">
        <v>24</v>
      </c>
      <c r="B27" s="2" t="s">
        <v>219</v>
      </c>
      <c r="C27" s="2">
        <f>SUMIFS(Data_Annual_BS!$D:$D,Data_Annual_BS!$A:$A,C$5-1,Data_Annual_BS!$C:$C,$B27)</f>
        <v>938553</v>
      </c>
      <c r="D27" s="153">
        <f>SUMIF(Data_Interim!$C:$C,$B27,Data_Interim!N:N)</f>
        <v>937863.95077047276</v>
      </c>
      <c r="E27" s="58">
        <f t="shared" si="9"/>
        <v>-689.04922952724155</v>
      </c>
      <c r="F27" s="57" t="str">
        <f t="shared" si="10"/>
        <v>▼</v>
      </c>
      <c r="G27" s="57">
        <f t="shared" si="11"/>
        <v>-7.3416123492997531E-4</v>
      </c>
      <c r="H27" s="55"/>
      <c r="I27" s="148"/>
      <c r="J27" s="2">
        <f>SUMIFS(Data_Annual_BS!$D:$D,Data_Annual_BS!$A:$A,J$5-1,Data_Annual_BS!$C:$C,$B27)</f>
        <v>907104.5727180551</v>
      </c>
      <c r="K27" s="153">
        <f>SUMIF(Data_Interim!$C:$C,$B27,Data_Interim!O:O)</f>
        <v>911142.17706565105</v>
      </c>
      <c r="L27" s="58">
        <f t="shared" si="12"/>
        <v>4037.604347595945</v>
      </c>
      <c r="M27" s="57" t="str">
        <f t="shared" si="13"/>
        <v>▲</v>
      </c>
      <c r="N27" s="57">
        <f t="shared" si="14"/>
        <v>4.4510902811323305E-3</v>
      </c>
      <c r="O27" s="55"/>
      <c r="P27" s="148"/>
      <c r="Q27" s="2">
        <f>SUMIFS(Data_Annual_BS!$D:$D,Data_Annual_BS!$A:$A,Q$5-1,Data_Annual_BS!$C:$C,$B27)</f>
        <v>909941.30470211047</v>
      </c>
      <c r="R27" s="153">
        <f>SUMIF(Data_Interim!$C:$C,$B27,Data_Interim!P:P)</f>
        <v>916008.5585736793</v>
      </c>
      <c r="S27" s="58">
        <f t="shared" si="15"/>
        <v>6067.2538715688279</v>
      </c>
      <c r="T27" s="57" t="str">
        <f t="shared" si="16"/>
        <v>▲</v>
      </c>
      <c r="U27" s="57">
        <f t="shared" si="17"/>
        <v>6.6677420183218761E-3</v>
      </c>
      <c r="V27" s="55"/>
      <c r="W27" s="148"/>
    </row>
    <row r="28" spans="1:23" ht="15" thickBot="1" x14ac:dyDescent="0.35">
      <c r="A28" s="4" t="s">
        <v>26</v>
      </c>
      <c r="B28" s="4" t="s">
        <v>27</v>
      </c>
      <c r="C28" s="5">
        <f>C26+C27</f>
        <v>142567217</v>
      </c>
      <c r="D28" s="154">
        <f t="shared" ref="D28:E28" si="33">D26+D27</f>
        <v>141717247.34377953</v>
      </c>
      <c r="E28" s="5">
        <f t="shared" si="33"/>
        <v>-849969.65622044529</v>
      </c>
      <c r="F28" s="39" t="str">
        <f t="shared" si="10"/>
        <v>▼</v>
      </c>
      <c r="G28" s="6">
        <f t="shared" si="11"/>
        <v>-5.9618871301981846E-3</v>
      </c>
      <c r="H28" s="55"/>
      <c r="I28" s="148"/>
      <c r="J28" s="5">
        <f>J26+J27</f>
        <v>139561139.43203726</v>
      </c>
      <c r="K28" s="154">
        <f t="shared" ref="K28" si="34">K26+K27</f>
        <v>142017124.61826012</v>
      </c>
      <c r="L28" s="5">
        <f t="shared" ref="L28" si="35">L26+L27</f>
        <v>2455985.1862228531</v>
      </c>
      <c r="M28" s="39" t="str">
        <f t="shared" si="13"/>
        <v>▲</v>
      </c>
      <c r="N28" s="6">
        <f t="shared" si="14"/>
        <v>1.7597915839737466E-2</v>
      </c>
      <c r="O28" s="55"/>
      <c r="P28" s="148"/>
      <c r="Q28" s="5">
        <f>Q26+Q27</f>
        <v>139711610.03498155</v>
      </c>
      <c r="R28" s="154">
        <f t="shared" ref="R28" si="36">R26+R27</f>
        <v>142784719.07606646</v>
      </c>
      <c r="S28" s="5">
        <f t="shared" ref="S28" si="37">S26+S27</f>
        <v>3073109.0410849093</v>
      </c>
      <c r="T28" s="39" t="str">
        <f t="shared" si="16"/>
        <v>▲</v>
      </c>
      <c r="U28" s="6">
        <f t="shared" si="17"/>
        <v>2.1996089232064975E-2</v>
      </c>
      <c r="V28" s="55"/>
      <c r="W28" s="148"/>
    </row>
    <row r="29" spans="1:23" x14ac:dyDescent="0.3">
      <c r="A29" s="2" t="s">
        <v>28</v>
      </c>
      <c r="B29" s="2" t="s">
        <v>223</v>
      </c>
      <c r="C29" s="2">
        <f>SUMIFS(Data_Annual_BS!$D:$D,Data_Annual_BS!$A:$A,C$5-1,Data_Annual_BS!$C:$C,$B29)</f>
        <v>285294</v>
      </c>
      <c r="D29" s="153">
        <f>SUMIF(Data_Interim!$C:$C,$B29,Data_Interim!N:N)</f>
        <v>283594.23824699997</v>
      </c>
      <c r="E29" s="58">
        <f t="shared" si="9"/>
        <v>-1699.761753000028</v>
      </c>
      <c r="F29" s="57" t="str">
        <f t="shared" si="10"/>
        <v>▼</v>
      </c>
      <c r="G29" s="57">
        <f t="shared" si="11"/>
        <v>-5.9579302508991905E-3</v>
      </c>
      <c r="H29" s="55"/>
      <c r="I29" s="148"/>
      <c r="J29" s="2">
        <f>SUMIFS(Data_Annual_BS!$D:$D,Data_Annual_BS!$A:$A,J$5-1,Data_Annual_BS!$C:$C,$B29)</f>
        <v>248808.238247</v>
      </c>
      <c r="K29" s="153">
        <f>SUMIF(Data_Interim!$C:$C,$B29,Data_Interim!O:O)</f>
        <v>248808.238247</v>
      </c>
      <c r="L29" s="58">
        <f t="shared" si="12"/>
        <v>0</v>
      </c>
      <c r="M29" s="57" t="str">
        <f t="shared" si="13"/>
        <v>▬</v>
      </c>
      <c r="N29" s="57">
        <f t="shared" si="14"/>
        <v>0</v>
      </c>
      <c r="O29" s="55"/>
      <c r="P29" s="148"/>
      <c r="Q29" s="2">
        <f>SUMIFS(Data_Annual_BS!$D:$D,Data_Annual_BS!$A:$A,Q$5-1,Data_Annual_BS!$C:$C,$B29)</f>
        <v>446038</v>
      </c>
      <c r="R29" s="153">
        <f>SUMIF(Data_Interim!$C:$C,$B29,Data_Interim!P:P)</f>
        <v>446038</v>
      </c>
      <c r="S29" s="58">
        <f t="shared" si="15"/>
        <v>0</v>
      </c>
      <c r="T29" s="57" t="str">
        <f t="shared" si="16"/>
        <v>▬</v>
      </c>
      <c r="U29" s="57">
        <f t="shared" si="17"/>
        <v>0</v>
      </c>
      <c r="V29" s="55"/>
      <c r="W29" s="148"/>
    </row>
    <row r="30" spans="1:23" s="97" customFormat="1" x14ac:dyDescent="0.3">
      <c r="A30" s="2" t="s">
        <v>29</v>
      </c>
      <c r="B30" s="94" t="s">
        <v>31</v>
      </c>
      <c r="C30" s="2">
        <f>SUMIFS(Data_Annual_BS!$D:$D,Data_Annual_BS!$A:$A,C$5-1,Data_Annual_BS!$C:$C,$B30)</f>
        <v>8902075</v>
      </c>
      <c r="D30" s="153">
        <f>SUMIF(Data_Interim!$C:$C,$B30,Data_Interim!N:N)</f>
        <v>8897478</v>
      </c>
      <c r="E30" s="95">
        <f t="shared" si="9"/>
        <v>-4597</v>
      </c>
      <c r="F30" s="96" t="str">
        <f t="shared" si="10"/>
        <v>▼</v>
      </c>
      <c r="G30" s="96">
        <f t="shared" si="11"/>
        <v>-5.1639645812917578E-4</v>
      </c>
      <c r="H30" s="149"/>
      <c r="I30" s="150"/>
      <c r="J30" s="2">
        <f>SUMIFS(Data_Annual_BS!$D:$D,Data_Annual_BS!$A:$A,J$5-1,Data_Annual_BS!$C:$C,$B30)</f>
        <v>8364029</v>
      </c>
      <c r="K30" s="153">
        <f>SUMIF(Data_Interim!$C:$C,$B30,Data_Interim!O:O)</f>
        <v>8364029</v>
      </c>
      <c r="L30" s="95">
        <f t="shared" si="12"/>
        <v>0</v>
      </c>
      <c r="M30" s="96" t="str">
        <f t="shared" si="13"/>
        <v>▬</v>
      </c>
      <c r="N30" s="96">
        <f t="shared" si="14"/>
        <v>0</v>
      </c>
      <c r="O30" s="149"/>
      <c r="P30" s="150"/>
      <c r="Q30" s="2">
        <f>SUMIFS(Data_Annual_BS!$D:$D,Data_Annual_BS!$A:$A,Q$5-1,Data_Annual_BS!$C:$C,$B30)</f>
        <v>7852871</v>
      </c>
      <c r="R30" s="153">
        <f>SUMIF(Data_Interim!$C:$C,$B30,Data_Interim!P:P)</f>
        <v>7857468</v>
      </c>
      <c r="S30" s="95">
        <f t="shared" si="15"/>
        <v>4597</v>
      </c>
      <c r="T30" s="96" t="str">
        <f t="shared" si="16"/>
        <v>▲</v>
      </c>
      <c r="U30" s="96">
        <f t="shared" si="17"/>
        <v>5.8539099903720526E-4</v>
      </c>
      <c r="V30" s="149"/>
      <c r="W30" s="150"/>
    </row>
    <row r="31" spans="1:23" x14ac:dyDescent="0.3">
      <c r="A31" s="2" t="s">
        <v>30</v>
      </c>
      <c r="B31" s="2" t="s">
        <v>182</v>
      </c>
      <c r="C31" s="2">
        <f>SUMIFS(Data_Annual_BS!$D:$D,Data_Annual_BS!$A:$A,C$5-1,Data_Annual_BS!$C:$C,$B31)</f>
        <v>37264631</v>
      </c>
      <c r="D31" s="153">
        <f>SUMIF(Data_Interim!$C:$C,$B31,Data_Interim!N:N)</f>
        <v>28909454.638776001</v>
      </c>
      <c r="E31" s="58">
        <f t="shared" si="9"/>
        <v>-8355176.3612239994</v>
      </c>
      <c r="F31" s="57" t="str">
        <f t="shared" si="10"/>
        <v>▼</v>
      </c>
      <c r="G31" s="57">
        <f t="shared" si="11"/>
        <v>-0.22421197089604883</v>
      </c>
      <c r="H31" s="55"/>
      <c r="I31" s="148"/>
      <c r="J31" s="2">
        <f>SUMIFS(Data_Annual_BS!$D:$D,Data_Annual_BS!$A:$A,J$5-1,Data_Annual_BS!$C:$C,$B31)</f>
        <v>23513246.189999998</v>
      </c>
      <c r="K31" s="153">
        <f>SUMIF(Data_Interim!$C:$C,$B31,Data_Interim!O:O)</f>
        <v>15736863.67</v>
      </c>
      <c r="L31" s="58">
        <f t="shared" si="12"/>
        <v>-7776382.5199999977</v>
      </c>
      <c r="M31" s="57" t="str">
        <f t="shared" si="13"/>
        <v>▼</v>
      </c>
      <c r="N31" s="57">
        <f t="shared" si="14"/>
        <v>-0.33072347634021004</v>
      </c>
      <c r="O31" s="55"/>
      <c r="P31" s="148"/>
      <c r="Q31" s="2">
        <f>SUMIFS(Data_Annual_BS!$D:$D,Data_Annual_BS!$A:$A,Q$5-1,Data_Annual_BS!$C:$C,$B31)</f>
        <v>17856699.280000001</v>
      </c>
      <c r="R31" s="153">
        <f>SUMIF(Data_Interim!$C:$C,$B31,Data_Interim!P:P)</f>
        <v>11984709.77</v>
      </c>
      <c r="S31" s="58">
        <f t="shared" si="15"/>
        <v>-5871989.5100000016</v>
      </c>
      <c r="T31" s="57" t="str">
        <f t="shared" si="16"/>
        <v>▼</v>
      </c>
      <c r="U31" s="57">
        <f t="shared" si="17"/>
        <v>-0.32883958104042177</v>
      </c>
      <c r="V31" s="55"/>
      <c r="W31" s="148"/>
    </row>
    <row r="32" spans="1:23" ht="15" thickBot="1" x14ac:dyDescent="0.35">
      <c r="A32" s="2" t="s">
        <v>33</v>
      </c>
      <c r="B32" s="2" t="s">
        <v>183</v>
      </c>
      <c r="C32" s="2">
        <f>SUMIFS(Data_Annual_BS!$D:$D,Data_Annual_BS!$A:$A,C$5-1,Data_Annual_BS!$C:$C,$B32)</f>
        <v>27300954</v>
      </c>
      <c r="D32" s="153">
        <f>SUMIF(Data_Interim!$C:$C,$B32,Data_Interim!N:N)</f>
        <v>24443923.390000001</v>
      </c>
      <c r="E32" s="58">
        <f t="shared" si="9"/>
        <v>-2857030.6099999994</v>
      </c>
      <c r="F32" s="57" t="str">
        <f t="shared" si="10"/>
        <v>▼</v>
      </c>
      <c r="G32" s="57">
        <f t="shared" si="11"/>
        <v>-0.10464947891564524</v>
      </c>
      <c r="H32" s="55"/>
      <c r="I32" s="148"/>
      <c r="J32" s="2">
        <f>SUMIFS(Data_Annual_BS!$D:$D,Data_Annual_BS!$A:$A,J$5-1,Data_Annual_BS!$C:$C,$B32)</f>
        <v>23506687.48</v>
      </c>
      <c r="K32" s="153">
        <f>SUMIF(Data_Interim!$C:$C,$B32,Data_Interim!O:O)</f>
        <v>20694980.75</v>
      </c>
      <c r="L32" s="58">
        <f t="shared" si="12"/>
        <v>-2811706.7300000004</v>
      </c>
      <c r="M32" s="57" t="str">
        <f t="shared" si="13"/>
        <v>▼</v>
      </c>
      <c r="N32" s="57">
        <f t="shared" si="14"/>
        <v>-0.11961305617357876</v>
      </c>
      <c r="O32" s="55"/>
      <c r="P32" s="148"/>
      <c r="Q32" s="2">
        <f>SUMIFS(Data_Annual_BS!$D:$D,Data_Annual_BS!$A:$A,Q$5-1,Data_Annual_BS!$C:$C,$B32)</f>
        <v>19761266.899999999</v>
      </c>
      <c r="R32" s="153">
        <f>SUMIF(Data_Interim!$C:$C,$B32,Data_Interim!P:P)</f>
        <v>16951998.100000001</v>
      </c>
      <c r="S32" s="58">
        <f t="shared" si="15"/>
        <v>-2809268.799999997</v>
      </c>
      <c r="T32" s="57" t="str">
        <f t="shared" si="16"/>
        <v>▼</v>
      </c>
      <c r="U32" s="57">
        <f t="shared" si="17"/>
        <v>-0.14216035916199266</v>
      </c>
      <c r="V32" s="55"/>
      <c r="W32" s="148"/>
    </row>
    <row r="33" spans="1:23" ht="15" thickBot="1" x14ac:dyDescent="0.35">
      <c r="A33" s="4" t="s">
        <v>34</v>
      </c>
      <c r="B33" s="4" t="s">
        <v>35</v>
      </c>
      <c r="C33" s="5">
        <f>SUM(C29:C32)</f>
        <v>73752954</v>
      </c>
      <c r="D33" s="154">
        <f>SUM(D29:D32)</f>
        <v>62534450.267022997</v>
      </c>
      <c r="E33" s="5">
        <f t="shared" si="9"/>
        <v>-11218503.732977003</v>
      </c>
      <c r="F33" s="39" t="str">
        <f t="shared" si="10"/>
        <v>▼</v>
      </c>
      <c r="G33" s="6">
        <f t="shared" si="11"/>
        <v>-0.15210921223544482</v>
      </c>
      <c r="H33" s="55"/>
      <c r="I33" s="148"/>
      <c r="J33" s="5">
        <f>SUM(J29:J32)</f>
        <v>55632770.908246994</v>
      </c>
      <c r="K33" s="154">
        <f>SUM(K29:K32)</f>
        <v>45044681.658247001</v>
      </c>
      <c r="L33" s="5">
        <f t="shared" si="12"/>
        <v>-10588089.249999993</v>
      </c>
      <c r="M33" s="39" t="str">
        <f t="shared" si="13"/>
        <v>▼</v>
      </c>
      <c r="N33" s="6">
        <f t="shared" si="14"/>
        <v>-0.19032108372711698</v>
      </c>
      <c r="O33" s="55"/>
      <c r="P33" s="148"/>
      <c r="Q33" s="5">
        <f>SUM(Q29:Q32)</f>
        <v>45916875.18</v>
      </c>
      <c r="R33" s="154">
        <f>SUM(R29:R32)</f>
        <v>37240213.870000005</v>
      </c>
      <c r="S33" s="5">
        <f t="shared" si="15"/>
        <v>-8676661.3099999949</v>
      </c>
      <c r="T33" s="39" t="str">
        <f t="shared" si="16"/>
        <v>▼</v>
      </c>
      <c r="U33" s="6">
        <f t="shared" si="17"/>
        <v>-0.18896454246911132</v>
      </c>
      <c r="V33" s="55"/>
      <c r="W33" s="148"/>
    </row>
    <row r="34" spans="1:23" x14ac:dyDescent="0.3">
      <c r="A34" s="2" t="s">
        <v>36</v>
      </c>
      <c r="B34" s="2" t="s">
        <v>227</v>
      </c>
      <c r="C34" s="2">
        <f>SUMIFS(Data_Annual_BS!$D:$D,Data_Annual_BS!$A:$A,C$5-1,Data_Annual_BS!$C:$C,$B34)</f>
        <v>34352570</v>
      </c>
      <c r="D34" s="153">
        <f>SUMIF(Data_Interim!$C:$C,$B34,Data_Interim!N:N)</f>
        <v>36232955.214900851</v>
      </c>
      <c r="E34" s="58">
        <f t="shared" si="9"/>
        <v>1880385.2149008512</v>
      </c>
      <c r="F34" s="57" t="str">
        <f t="shared" si="10"/>
        <v>▲</v>
      </c>
      <c r="G34" s="57">
        <f t="shared" si="11"/>
        <v>5.4737832275746801E-2</v>
      </c>
      <c r="H34" s="55"/>
      <c r="I34" s="148"/>
      <c r="J34" s="2">
        <f>SUMIFS(Data_Annual_BS!$D:$D,Data_Annual_BS!$A:$A,J$5-1,Data_Annual_BS!$C:$C,$B34)</f>
        <v>35232435.053994887</v>
      </c>
      <c r="K34" s="153">
        <f>SUMIF(Data_Interim!$C:$C,$B34,Data_Interim!O:O)</f>
        <v>37461479.418700837</v>
      </c>
      <c r="L34" s="58">
        <f t="shared" si="12"/>
        <v>2229044.36470595</v>
      </c>
      <c r="M34" s="57" t="str">
        <f t="shared" si="13"/>
        <v>▲</v>
      </c>
      <c r="N34" s="57">
        <f t="shared" si="14"/>
        <v>6.3266826754661221E-2</v>
      </c>
      <c r="O34" s="55"/>
      <c r="P34" s="148"/>
      <c r="Q34" s="2">
        <f>SUMIFS(Data_Annual_BS!$D:$D,Data_Annual_BS!$A:$A,Q$5-1,Data_Annual_BS!$C:$C,$B34)</f>
        <v>33374993.925974838</v>
      </c>
      <c r="R34" s="153">
        <f>SUMIF(Data_Interim!$C:$C,$B34,Data_Interim!P:P)</f>
        <v>55186922.47597485</v>
      </c>
      <c r="S34" s="58">
        <f t="shared" si="15"/>
        <v>21811928.550000012</v>
      </c>
      <c r="T34" s="57" t="str">
        <f t="shared" si="16"/>
        <v>▲</v>
      </c>
      <c r="U34" s="57">
        <f t="shared" si="17"/>
        <v>0.65354104927714718</v>
      </c>
      <c r="V34" s="55"/>
      <c r="W34" s="148"/>
    </row>
    <row r="35" spans="1:23" x14ac:dyDescent="0.3">
      <c r="A35" s="2" t="s">
        <v>37</v>
      </c>
      <c r="B35" s="7" t="s">
        <v>178</v>
      </c>
      <c r="C35" s="7">
        <f>SUMIFS(Data_Annual_BS!$D:$D,Data_Annual_BS!$A:$A,C$5-1,Data_Annual_BS!$C:$C,$B35)</f>
        <v>52606680</v>
      </c>
      <c r="D35" s="155">
        <f>SUMIF(Data_Interim!$C:$C,$B35,Data_Interim!N:N)</f>
        <v>57630076.221224003</v>
      </c>
      <c r="E35" s="58">
        <f t="shared" si="9"/>
        <v>5023396.2212240025</v>
      </c>
      <c r="F35" s="57" t="str">
        <f t="shared" si="10"/>
        <v>▲</v>
      </c>
      <c r="G35" s="57">
        <f t="shared" si="11"/>
        <v>9.548970247170141E-2</v>
      </c>
      <c r="H35" s="55"/>
      <c r="I35" s="148"/>
      <c r="J35" s="7">
        <f>SUMIFS(Data_Annual_BS!$D:$D,Data_Annual_BS!$A:$A,J$5-1,Data_Annual_BS!$C:$C,$B35)</f>
        <v>60426062.469999999</v>
      </c>
      <c r="K35" s="155">
        <f>SUMIF(Data_Interim!$C:$C,$B35,Data_Interim!O:O)</f>
        <v>56711366.030000001</v>
      </c>
      <c r="L35" s="58">
        <f t="shared" si="12"/>
        <v>-3714696.4399999976</v>
      </c>
      <c r="M35" s="57" t="str">
        <f t="shared" si="13"/>
        <v>▼</v>
      </c>
      <c r="N35" s="57">
        <f t="shared" si="14"/>
        <v>-6.1475070328208981E-2</v>
      </c>
      <c r="O35" s="55"/>
      <c r="P35" s="148"/>
      <c r="Q35" s="7">
        <f>SUMIFS(Data_Annual_BS!$D:$D,Data_Annual_BS!$A:$A,Q$5-1,Data_Annual_BS!$C:$C,$B35)</f>
        <v>52867564.909999996</v>
      </c>
      <c r="R35" s="155">
        <f>SUMIF(Data_Interim!$C:$C,$B35,Data_Interim!P:P)</f>
        <v>55206700.740000002</v>
      </c>
      <c r="S35" s="58">
        <f t="shared" si="15"/>
        <v>2339135.8300000057</v>
      </c>
      <c r="T35" s="57" t="str">
        <f t="shared" si="16"/>
        <v>▲</v>
      </c>
      <c r="U35" s="57">
        <f t="shared" si="17"/>
        <v>4.4245197106809631E-2</v>
      </c>
      <c r="V35" s="55"/>
      <c r="W35" s="148"/>
    </row>
    <row r="36" spans="1:23" ht="15" thickBot="1" x14ac:dyDescent="0.35">
      <c r="A36" s="2" t="s">
        <v>28</v>
      </c>
      <c r="B36" s="2" t="s">
        <v>180</v>
      </c>
      <c r="C36" s="2">
        <f>SUMIFS(Data_Annual_BS!$D:$D,Data_Annual_BS!$A:$A,C$5-1,Data_Annual_BS!$C:$C,$B36)</f>
        <v>8219475</v>
      </c>
      <c r="D36" s="153">
        <f>SUMIF(Data_Interim!$C:$C,$B36,Data_Interim!N:N)</f>
        <v>8795459.0958750006</v>
      </c>
      <c r="E36" s="58">
        <f t="shared" si="9"/>
        <v>575984.09587500058</v>
      </c>
      <c r="F36" s="57" t="str">
        <f t="shared" si="10"/>
        <v>▲</v>
      </c>
      <c r="G36" s="93">
        <f t="shared" si="11"/>
        <v>7.0075533519476707E-2</v>
      </c>
      <c r="H36" s="55"/>
      <c r="I36" s="148"/>
      <c r="J36" s="2">
        <f>SUMIFS(Data_Annual_BS!$D:$D,Data_Annual_BS!$A:$A,J$5-1,Data_Annual_BS!$C:$C,$B36)</f>
        <v>8170739.7774229459</v>
      </c>
      <c r="K36" s="153">
        <f>SUMIF(Data_Interim!$C:$C,$B36,Data_Interim!O:O)</f>
        <v>8940893.5458750017</v>
      </c>
      <c r="L36" s="58">
        <f t="shared" si="12"/>
        <v>770153.76845205575</v>
      </c>
      <c r="M36" s="57" t="str">
        <f t="shared" si="13"/>
        <v>▲</v>
      </c>
      <c r="N36" s="93">
        <f t="shared" si="14"/>
        <v>9.4257532295926705E-2</v>
      </c>
      <c r="O36" s="55"/>
      <c r="P36" s="148"/>
      <c r="Q36" s="2">
        <f>SUMIFS(Data_Annual_BS!$D:$D,Data_Annual_BS!$A:$A,Q$5-1,Data_Annual_BS!$C:$C,$B36)</f>
        <v>7623415.0058750007</v>
      </c>
      <c r="R36" s="153">
        <f>SUMIF(Data_Interim!$C:$C,$B36,Data_Interim!P:P)</f>
        <v>10023177.346875001</v>
      </c>
      <c r="S36" s="58">
        <f t="shared" si="15"/>
        <v>2399762.341</v>
      </c>
      <c r="T36" s="57" t="str">
        <f t="shared" si="16"/>
        <v>▲</v>
      </c>
      <c r="U36" s="93">
        <f t="shared" si="17"/>
        <v>0.31478836442075075</v>
      </c>
      <c r="V36" s="55"/>
      <c r="W36" s="148"/>
    </row>
    <row r="37" spans="1:23" ht="15" thickBot="1" x14ac:dyDescent="0.35">
      <c r="A37" s="4" t="s">
        <v>38</v>
      </c>
      <c r="B37" s="4" t="s">
        <v>39</v>
      </c>
      <c r="C37" s="4">
        <f>SUM(C34:C36)</f>
        <v>95178725</v>
      </c>
      <c r="D37" s="156">
        <f>SUM(D34:D36)</f>
        <v>102658490.53199986</v>
      </c>
      <c r="E37" s="5">
        <f t="shared" si="9"/>
        <v>7479765.5319998562</v>
      </c>
      <c r="F37" s="39" t="str">
        <f t="shared" si="10"/>
        <v>▲</v>
      </c>
      <c r="G37" s="6">
        <f t="shared" si="11"/>
        <v>7.8586527945187834E-2</v>
      </c>
      <c r="H37" s="55"/>
      <c r="I37" s="148"/>
      <c r="J37" s="4">
        <f>SUM(J34:J36)</f>
        <v>103829237.30141784</v>
      </c>
      <c r="K37" s="156">
        <f>SUM(K34:K36)</f>
        <v>103113738.99457584</v>
      </c>
      <c r="L37" s="5">
        <f t="shared" si="12"/>
        <v>-715498.30684199929</v>
      </c>
      <c r="M37" s="39" t="str">
        <f t="shared" si="13"/>
        <v>▼</v>
      </c>
      <c r="N37" s="6">
        <f t="shared" si="14"/>
        <v>-6.8911062571411774E-3</v>
      </c>
      <c r="O37" s="55"/>
      <c r="P37" s="148"/>
      <c r="Q37" s="4">
        <f>SUM(Q34:Q36)</f>
        <v>93865973.841849849</v>
      </c>
      <c r="R37" s="156">
        <f>SUM(R34:R36)</f>
        <v>120416800.56284985</v>
      </c>
      <c r="S37" s="5">
        <f t="shared" si="15"/>
        <v>26550826.721000001</v>
      </c>
      <c r="T37" s="39" t="str">
        <f t="shared" si="16"/>
        <v>▲</v>
      </c>
      <c r="U37" s="6">
        <f t="shared" si="17"/>
        <v>0.28285890652702528</v>
      </c>
      <c r="V37" s="55"/>
      <c r="W37" s="148"/>
    </row>
    <row r="38" spans="1:23" ht="15" thickBot="1" x14ac:dyDescent="0.35">
      <c r="A38" s="4" t="s">
        <v>40</v>
      </c>
      <c r="B38" s="4" t="s">
        <v>41</v>
      </c>
      <c r="C38" s="4">
        <f>C37+C33</f>
        <v>168931679</v>
      </c>
      <c r="D38" s="156">
        <f>D37+D33</f>
        <v>165192940.79902285</v>
      </c>
      <c r="E38" s="5">
        <f t="shared" si="9"/>
        <v>-3738738.2009771466</v>
      </c>
      <c r="F38" s="39" t="str">
        <f t="shared" si="10"/>
        <v>▼</v>
      </c>
      <c r="G38" s="6">
        <f t="shared" si="11"/>
        <v>-2.213165833139652E-2</v>
      </c>
      <c r="H38" s="55"/>
      <c r="I38" s="148"/>
      <c r="J38" s="4">
        <f>J37+J33</f>
        <v>159462008.20966482</v>
      </c>
      <c r="K38" s="156">
        <f>K37+K33</f>
        <v>148158420.65282285</v>
      </c>
      <c r="L38" s="5">
        <f t="shared" si="12"/>
        <v>-11303587.556841969</v>
      </c>
      <c r="M38" s="39" t="str">
        <f t="shared" si="13"/>
        <v>▼</v>
      </c>
      <c r="N38" s="6">
        <f t="shared" si="14"/>
        <v>-7.0885772001439418E-2</v>
      </c>
      <c r="O38" s="55"/>
      <c r="P38" s="148"/>
      <c r="Q38" s="4">
        <f>Q37+Q33</f>
        <v>139782849.02184984</v>
      </c>
      <c r="R38" s="156">
        <f>R37+R33</f>
        <v>157657014.43284985</v>
      </c>
      <c r="S38" s="5">
        <f t="shared" si="15"/>
        <v>17874165.411000013</v>
      </c>
      <c r="T38" s="39" t="str">
        <f t="shared" si="16"/>
        <v>▲</v>
      </c>
      <c r="U38" s="6">
        <f t="shared" si="17"/>
        <v>0.12787094794588172</v>
      </c>
      <c r="V38" s="55"/>
      <c r="W38" s="148"/>
    </row>
    <row r="39" spans="1:23" ht="15" thickBot="1" x14ac:dyDescent="0.35">
      <c r="A39" s="4" t="s">
        <v>42</v>
      </c>
      <c r="B39" s="4" t="s">
        <v>43</v>
      </c>
      <c r="C39" s="4">
        <f>C38+C28</f>
        <v>311498896</v>
      </c>
      <c r="D39" s="156">
        <f>D38+D28</f>
        <v>306910188.14280236</v>
      </c>
      <c r="E39" s="5">
        <f t="shared" si="9"/>
        <v>-4588707.8571976423</v>
      </c>
      <c r="F39" s="39" t="str">
        <f t="shared" si="10"/>
        <v>▼</v>
      </c>
      <c r="G39" s="6">
        <f t="shared" si="11"/>
        <v>-1.4731056565919998E-2</v>
      </c>
      <c r="H39" s="55"/>
      <c r="I39" s="148"/>
      <c r="J39" s="4">
        <f>J38+J28</f>
        <v>299023147.64170206</v>
      </c>
      <c r="K39" s="156">
        <f>K38+K28</f>
        <v>290175545.271083</v>
      </c>
      <c r="L39" s="5">
        <f t="shared" si="12"/>
        <v>-8847602.3706190586</v>
      </c>
      <c r="M39" s="39" t="str">
        <f t="shared" si="13"/>
        <v>▼</v>
      </c>
      <c r="N39" s="6">
        <f t="shared" si="14"/>
        <v>-2.9588352742579316E-2</v>
      </c>
      <c r="O39" s="55"/>
      <c r="P39" s="148"/>
      <c r="Q39" s="4">
        <f>Q38+Q28</f>
        <v>279494459.05683136</v>
      </c>
      <c r="R39" s="156">
        <f>R38+R28</f>
        <v>300441733.50891632</v>
      </c>
      <c r="S39" s="5">
        <f t="shared" si="15"/>
        <v>20947274.452084959</v>
      </c>
      <c r="T39" s="39" t="str">
        <f t="shared" si="16"/>
        <v>▲</v>
      </c>
      <c r="U39" s="6">
        <f t="shared" si="17"/>
        <v>7.4947011553547993E-2</v>
      </c>
      <c r="V39" s="55"/>
      <c r="W39" s="148"/>
    </row>
    <row r="40" spans="1:23" x14ac:dyDescent="0.3">
      <c r="H40" s="55"/>
      <c r="I40" s="148"/>
      <c r="O40" s="55"/>
      <c r="P40" s="148"/>
      <c r="V40" s="55"/>
      <c r="W40" s="148"/>
    </row>
    <row r="41" spans="1:23" x14ac:dyDescent="0.3">
      <c r="A41" s="25" t="s">
        <v>59</v>
      </c>
      <c r="B41" s="25"/>
      <c r="C41" s="76">
        <f>C39-C21</f>
        <v>0</v>
      </c>
      <c r="D41" s="76">
        <f>D39-D21</f>
        <v>1.2376540899276733</v>
      </c>
      <c r="H41" s="55"/>
      <c r="I41" s="148"/>
      <c r="J41" s="76">
        <f>J39-J21</f>
        <v>-0.17916387319564819</v>
      </c>
      <c r="K41" s="76">
        <f>K39-K21</f>
        <v>0.27588307857513428</v>
      </c>
      <c r="O41" s="55"/>
      <c r="P41" s="148"/>
      <c r="Q41" s="76">
        <f>Q39-Q21</f>
        <v>0.34889203310012817</v>
      </c>
      <c r="R41" s="76">
        <f>R39-R21</f>
        <v>-0.92244797945022583</v>
      </c>
      <c r="V41" s="55"/>
      <c r="W41" s="148"/>
    </row>
    <row r="42" spans="1:23" x14ac:dyDescent="0.3">
      <c r="B42" s="25" t="s">
        <v>59</v>
      </c>
    </row>
    <row r="46" spans="1:23" x14ac:dyDescent="0.3">
      <c r="H46" s="76"/>
      <c r="I46" s="76"/>
      <c r="O46" s="76"/>
      <c r="P46" s="76"/>
      <c r="V46" s="76"/>
      <c r="W46" s="76"/>
    </row>
    <row r="47" spans="1:23" x14ac:dyDescent="0.3">
      <c r="H47" s="76"/>
      <c r="I47" s="76"/>
      <c r="O47" s="76"/>
      <c r="P47" s="76"/>
      <c r="V47" s="76"/>
      <c r="W47" s="76"/>
    </row>
    <row r="48" spans="1:23" x14ac:dyDescent="0.3">
      <c r="H48" s="76"/>
      <c r="I48" s="76"/>
      <c r="O48" s="76"/>
      <c r="P48" s="76"/>
      <c r="V48" s="76"/>
      <c r="W48" s="76"/>
    </row>
    <row r="49" spans="8:23" x14ac:dyDescent="0.3">
      <c r="H49" s="76"/>
      <c r="I49" s="76"/>
      <c r="O49" s="76"/>
      <c r="P49" s="76"/>
      <c r="V49" s="76"/>
      <c r="W49" s="76"/>
    </row>
    <row r="50" spans="8:23" x14ac:dyDescent="0.3">
      <c r="H50" s="76"/>
      <c r="I50" s="76"/>
      <c r="O50" s="76"/>
      <c r="P50" s="76"/>
      <c r="V50" s="76"/>
      <c r="W50" s="76"/>
    </row>
    <row r="51" spans="8:23" x14ac:dyDescent="0.3">
      <c r="H51" s="76"/>
      <c r="I51" s="76"/>
      <c r="O51" s="76"/>
      <c r="P51" s="76"/>
      <c r="V51" s="76"/>
      <c r="W51" s="76"/>
    </row>
    <row r="52" spans="8:23" x14ac:dyDescent="0.3">
      <c r="H52" s="76"/>
      <c r="I52" s="76"/>
      <c r="O52" s="76"/>
      <c r="P52" s="76"/>
      <c r="V52" s="76"/>
      <c r="W52" s="76"/>
    </row>
    <row r="53" spans="8:23" x14ac:dyDescent="0.3">
      <c r="H53" s="76"/>
      <c r="I53" s="76"/>
      <c r="O53" s="76"/>
      <c r="P53" s="76"/>
      <c r="V53" s="76"/>
      <c r="W53" s="76"/>
    </row>
    <row r="54" spans="8:23" x14ac:dyDescent="0.3">
      <c r="H54" s="76"/>
      <c r="I54" s="76"/>
      <c r="O54" s="76"/>
      <c r="P54" s="76"/>
      <c r="V54" s="76"/>
      <c r="W54" s="76"/>
    </row>
    <row r="55" spans="8:23" x14ac:dyDescent="0.3">
      <c r="H55" s="76"/>
      <c r="I55" s="76"/>
      <c r="O55" s="76"/>
      <c r="P55" s="76"/>
      <c r="V55" s="76"/>
      <c r="W55" s="76"/>
    </row>
    <row r="56" spans="8:23" x14ac:dyDescent="0.3">
      <c r="H56" s="76"/>
      <c r="I56" s="76"/>
      <c r="O56" s="76"/>
      <c r="P56" s="76"/>
      <c r="V56" s="76"/>
      <c r="W56" s="76"/>
    </row>
    <row r="57" spans="8:23" x14ac:dyDescent="0.3">
      <c r="H57" s="76"/>
      <c r="I57" s="76"/>
      <c r="O57" s="76"/>
      <c r="P57" s="76"/>
      <c r="V57" s="76"/>
      <c r="W57" s="76"/>
    </row>
    <row r="58" spans="8:23" x14ac:dyDescent="0.3">
      <c r="H58" s="76"/>
      <c r="I58" s="76"/>
      <c r="O58" s="76"/>
      <c r="P58" s="76"/>
      <c r="V58" s="76"/>
      <c r="W58" s="76"/>
    </row>
    <row r="59" spans="8:23" x14ac:dyDescent="0.3">
      <c r="H59" s="76"/>
      <c r="I59" s="76"/>
      <c r="O59" s="76"/>
      <c r="P59" s="76"/>
      <c r="V59" s="76"/>
      <c r="W59" s="76"/>
    </row>
    <row r="60" spans="8:23" x14ac:dyDescent="0.3">
      <c r="H60" s="76"/>
      <c r="I60" s="76"/>
      <c r="O60" s="76"/>
      <c r="P60" s="76"/>
      <c r="V60" s="76"/>
      <c r="W60" s="76"/>
    </row>
    <row r="61" spans="8:23" x14ac:dyDescent="0.3">
      <c r="H61" s="76"/>
      <c r="I61" s="76"/>
      <c r="O61" s="76"/>
      <c r="P61" s="76"/>
      <c r="V61" s="76"/>
      <c r="W61" s="76"/>
    </row>
    <row r="62" spans="8:23" x14ac:dyDescent="0.3">
      <c r="H62" s="76"/>
      <c r="I62" s="76"/>
      <c r="O62" s="76"/>
      <c r="P62" s="76"/>
      <c r="V62" s="76"/>
      <c r="W62" s="76"/>
    </row>
    <row r="63" spans="8:23" x14ac:dyDescent="0.3">
      <c r="H63" s="76"/>
      <c r="I63" s="76"/>
      <c r="O63" s="76"/>
      <c r="P63" s="76"/>
      <c r="V63" s="76"/>
      <c r="W63" s="76"/>
    </row>
    <row r="64" spans="8:23" x14ac:dyDescent="0.3">
      <c r="H64" s="76"/>
      <c r="I64" s="76"/>
      <c r="O64" s="76"/>
      <c r="P64" s="76"/>
      <c r="V64" s="76"/>
      <c r="W64" s="76"/>
    </row>
    <row r="65" spans="8:23" x14ac:dyDescent="0.3">
      <c r="H65" s="76"/>
      <c r="I65" s="76"/>
      <c r="O65" s="76"/>
      <c r="P65" s="76"/>
      <c r="V65" s="76"/>
      <c r="W65" s="76"/>
    </row>
    <row r="66" spans="8:23" x14ac:dyDescent="0.3">
      <c r="H66" s="76"/>
      <c r="I66" s="76"/>
      <c r="O66" s="76"/>
      <c r="P66" s="76"/>
      <c r="V66" s="76"/>
      <c r="W66" s="76"/>
    </row>
    <row r="67" spans="8:23" x14ac:dyDescent="0.3">
      <c r="H67" s="76"/>
      <c r="I67" s="76"/>
      <c r="O67" s="76"/>
      <c r="P67" s="76"/>
      <c r="V67" s="76"/>
      <c r="W67" s="76"/>
    </row>
    <row r="68" spans="8:23" x14ac:dyDescent="0.3">
      <c r="H68" s="76"/>
      <c r="I68" s="76"/>
      <c r="O68" s="76"/>
      <c r="P68" s="76"/>
      <c r="V68" s="76"/>
      <c r="W68" s="76"/>
    </row>
    <row r="69" spans="8:23" x14ac:dyDescent="0.3">
      <c r="H69" s="76"/>
      <c r="I69" s="76"/>
      <c r="O69" s="76"/>
      <c r="P69" s="76"/>
      <c r="V69" s="76"/>
      <c r="W69" s="76"/>
    </row>
    <row r="70" spans="8:23" x14ac:dyDescent="0.3">
      <c r="H70" s="76"/>
      <c r="I70" s="76"/>
      <c r="O70" s="76"/>
      <c r="P70" s="76"/>
      <c r="V70" s="76"/>
      <c r="W70" s="76"/>
    </row>
    <row r="71" spans="8:23" x14ac:dyDescent="0.3">
      <c r="H71" s="76"/>
      <c r="I71" s="76"/>
      <c r="O71" s="76"/>
      <c r="P71" s="76"/>
      <c r="V71" s="76"/>
      <c r="W71" s="76"/>
    </row>
    <row r="72" spans="8:23" x14ac:dyDescent="0.3">
      <c r="H72" s="76"/>
      <c r="I72" s="76"/>
      <c r="O72" s="76"/>
      <c r="P72" s="76"/>
      <c r="V72" s="76"/>
      <c r="W72" s="76"/>
    </row>
    <row r="73" spans="8:23" x14ac:dyDescent="0.3">
      <c r="H73" s="76"/>
      <c r="I73" s="76"/>
      <c r="O73" s="76"/>
      <c r="P73" s="76"/>
      <c r="V73" s="76"/>
      <c r="W73" s="76"/>
    </row>
    <row r="74" spans="8:23" x14ac:dyDescent="0.3">
      <c r="H74" s="76"/>
      <c r="I74" s="76"/>
      <c r="O74" s="76"/>
      <c r="P74" s="76"/>
      <c r="V74" s="76"/>
      <c r="W74" s="76"/>
    </row>
  </sheetData>
  <mergeCells count="5">
    <mergeCell ref="L4:N5"/>
    <mergeCell ref="S4:U5"/>
    <mergeCell ref="B1:E1"/>
    <mergeCell ref="B4:B5"/>
    <mergeCell ref="E4:G5"/>
  </mergeCells>
  <conditionalFormatting sqref="F6 F22:F24 F29:F32 M29:M32 T29:T32 F34:F36 M34:M36 T34:T36 F10:F19 M10:M19 T10:T19 F27">
    <cfRule type="expression" dxfId="129" priority="73">
      <formula>D6=C6</formula>
    </cfRule>
    <cfRule type="expression" dxfId="128" priority="74">
      <formula>D6&lt;C6</formula>
    </cfRule>
    <cfRule type="expression" dxfId="127" priority="75">
      <formula>D6&gt;C6</formula>
    </cfRule>
  </conditionalFormatting>
  <conditionalFormatting sqref="F20:F21">
    <cfRule type="expression" dxfId="126" priority="70">
      <formula>D20=C20</formula>
    </cfRule>
    <cfRule type="expression" dxfId="125" priority="71">
      <formula>D20&lt;C20</formula>
    </cfRule>
    <cfRule type="expression" dxfId="124" priority="72">
      <formula>D20&gt;C20</formula>
    </cfRule>
  </conditionalFormatting>
  <conditionalFormatting sqref="F28">
    <cfRule type="expression" dxfId="123" priority="67">
      <formula>D28=C28</formula>
    </cfRule>
    <cfRule type="expression" dxfId="122" priority="68">
      <formula>D28&lt;C28</formula>
    </cfRule>
    <cfRule type="expression" dxfId="121" priority="69">
      <formula>D28&gt;C28</formula>
    </cfRule>
  </conditionalFormatting>
  <conditionalFormatting sqref="F33">
    <cfRule type="expression" dxfId="120" priority="64">
      <formula>D33=C33</formula>
    </cfRule>
    <cfRule type="expression" dxfId="119" priority="65">
      <formula>D33&lt;C33</formula>
    </cfRule>
    <cfRule type="expression" dxfId="118" priority="66">
      <formula>D33&gt;C33</formula>
    </cfRule>
  </conditionalFormatting>
  <conditionalFormatting sqref="F37:F39">
    <cfRule type="expression" dxfId="117" priority="61">
      <formula>D37=C37</formula>
    </cfRule>
    <cfRule type="expression" dxfId="116" priority="62">
      <formula>D37&lt;C37</formula>
    </cfRule>
    <cfRule type="expression" dxfId="115" priority="63">
      <formula>D37&gt;C37</formula>
    </cfRule>
  </conditionalFormatting>
  <conditionalFormatting sqref="M6 M22:M24 M27">
    <cfRule type="expression" dxfId="114" priority="58">
      <formula>K6=J6</formula>
    </cfRule>
    <cfRule type="expression" dxfId="113" priority="59">
      <formula>K6&lt;J6</formula>
    </cfRule>
    <cfRule type="expression" dxfId="112" priority="60">
      <formula>K6&gt;J6</formula>
    </cfRule>
  </conditionalFormatting>
  <conditionalFormatting sqref="M20:M21">
    <cfRule type="expression" dxfId="111" priority="55">
      <formula>K20=J20</formula>
    </cfRule>
    <cfRule type="expression" dxfId="110" priority="56">
      <formula>K20&lt;J20</formula>
    </cfRule>
    <cfRule type="expression" dxfId="109" priority="57">
      <formula>K20&gt;J20</formula>
    </cfRule>
  </conditionalFormatting>
  <conditionalFormatting sqref="M28">
    <cfRule type="expression" dxfId="108" priority="52">
      <formula>K28=J28</formula>
    </cfRule>
    <cfRule type="expression" dxfId="107" priority="53">
      <formula>K28&lt;J28</formula>
    </cfRule>
    <cfRule type="expression" dxfId="106" priority="54">
      <formula>K28&gt;J28</formula>
    </cfRule>
  </conditionalFormatting>
  <conditionalFormatting sqref="M33">
    <cfRule type="expression" dxfId="105" priority="49">
      <formula>K33=J33</formula>
    </cfRule>
    <cfRule type="expression" dxfId="104" priority="50">
      <formula>K33&lt;J33</formula>
    </cfRule>
    <cfRule type="expression" dxfId="103" priority="51">
      <formula>K33&gt;J33</formula>
    </cfRule>
  </conditionalFormatting>
  <conditionalFormatting sqref="M37:M39">
    <cfRule type="expression" dxfId="102" priority="46">
      <formula>K37=J37</formula>
    </cfRule>
    <cfRule type="expression" dxfId="101" priority="47">
      <formula>K37&lt;J37</formula>
    </cfRule>
    <cfRule type="expression" dxfId="100" priority="48">
      <formula>K37&gt;J37</formula>
    </cfRule>
  </conditionalFormatting>
  <conditionalFormatting sqref="T6 T22:T24 T27">
    <cfRule type="expression" dxfId="99" priority="43">
      <formula>R6=Q6</formula>
    </cfRule>
    <cfRule type="expression" dxfId="98" priority="44">
      <formula>R6&lt;Q6</formula>
    </cfRule>
    <cfRule type="expression" dxfId="97" priority="45">
      <formula>R6&gt;Q6</formula>
    </cfRule>
  </conditionalFormatting>
  <conditionalFormatting sqref="T20:T21">
    <cfRule type="expression" dxfId="96" priority="40">
      <formula>R20=Q20</formula>
    </cfRule>
    <cfRule type="expression" dxfId="95" priority="41">
      <formula>R20&lt;Q20</formula>
    </cfRule>
    <cfRule type="expression" dxfId="94" priority="42">
      <formula>R20&gt;Q20</formula>
    </cfRule>
  </conditionalFormatting>
  <conditionalFormatting sqref="T28">
    <cfRule type="expression" dxfId="93" priority="37">
      <formula>R28=Q28</formula>
    </cfRule>
    <cfRule type="expression" dxfId="92" priority="38">
      <formula>R28&lt;Q28</formula>
    </cfRule>
    <cfRule type="expression" dxfId="91" priority="39">
      <formula>R28&gt;Q28</formula>
    </cfRule>
  </conditionalFormatting>
  <conditionalFormatting sqref="T33">
    <cfRule type="expression" dxfId="90" priority="34">
      <formula>R33=Q33</formula>
    </cfRule>
    <cfRule type="expression" dxfId="89" priority="35">
      <formula>R33&lt;Q33</formula>
    </cfRule>
    <cfRule type="expression" dxfId="88" priority="36">
      <formula>R33&gt;Q33</formula>
    </cfRule>
  </conditionalFormatting>
  <conditionalFormatting sqref="T37:T39">
    <cfRule type="expression" dxfId="87" priority="31">
      <formula>R37=Q37</formula>
    </cfRule>
    <cfRule type="expression" dxfId="86" priority="32">
      <formula>R37&lt;Q37</formula>
    </cfRule>
    <cfRule type="expression" dxfId="85" priority="33">
      <formula>R37&gt;Q37</formula>
    </cfRule>
  </conditionalFormatting>
  <conditionalFormatting sqref="U36">
    <cfRule type="containsErrors" dxfId="84" priority="30">
      <formula>ISERROR(U36)</formula>
    </cfRule>
  </conditionalFormatting>
  <conditionalFormatting sqref="N36">
    <cfRule type="containsErrors" dxfId="83" priority="29">
      <formula>ISERROR(N36)</formula>
    </cfRule>
  </conditionalFormatting>
  <conditionalFormatting sqref="G36">
    <cfRule type="containsErrors" dxfId="82" priority="28">
      <formula>ISERROR(G36)</formula>
    </cfRule>
  </conditionalFormatting>
  <conditionalFormatting sqref="F7:F9">
    <cfRule type="expression" dxfId="81" priority="25">
      <formula>D7=C7</formula>
    </cfRule>
    <cfRule type="expression" dxfId="80" priority="26">
      <formula>D7&lt;C7</formula>
    </cfRule>
    <cfRule type="expression" dxfId="79" priority="27">
      <formula>D7&gt;C7</formula>
    </cfRule>
  </conditionalFormatting>
  <conditionalFormatting sqref="M7:M9">
    <cfRule type="expression" dxfId="78" priority="22">
      <formula>K7=J7</formula>
    </cfRule>
    <cfRule type="expression" dxfId="77" priority="23">
      <formula>K7&lt;J7</formula>
    </cfRule>
    <cfRule type="expression" dxfId="76" priority="24">
      <formula>K7&gt;J7</formula>
    </cfRule>
  </conditionalFormatting>
  <conditionalFormatting sqref="T7:T9">
    <cfRule type="expression" dxfId="75" priority="19">
      <formula>R7=Q7</formula>
    </cfRule>
    <cfRule type="expression" dxfId="74" priority="20">
      <formula>R7&lt;Q7</formula>
    </cfRule>
    <cfRule type="expression" dxfId="73" priority="21">
      <formula>R7&gt;Q7</formula>
    </cfRule>
  </conditionalFormatting>
  <conditionalFormatting sqref="F25">
    <cfRule type="expression" dxfId="72" priority="16">
      <formula>D25=C25</formula>
    </cfRule>
    <cfRule type="expression" dxfId="71" priority="17">
      <formula>D25&lt;C25</formula>
    </cfRule>
    <cfRule type="expression" dxfId="70" priority="18">
      <formula>D25&gt;C25</formula>
    </cfRule>
  </conditionalFormatting>
  <conditionalFormatting sqref="M25">
    <cfRule type="expression" dxfId="69" priority="13">
      <formula>K25=J25</formula>
    </cfRule>
    <cfRule type="expression" dxfId="68" priority="14">
      <formula>K25&lt;J25</formula>
    </cfRule>
    <cfRule type="expression" dxfId="67" priority="15">
      <formula>K25&gt;J25</formula>
    </cfRule>
  </conditionalFormatting>
  <conditionalFormatting sqref="T25">
    <cfRule type="expression" dxfId="66" priority="10">
      <formula>R25=Q25</formula>
    </cfRule>
    <cfRule type="expression" dxfId="65" priority="11">
      <formula>R25&lt;Q25</formula>
    </cfRule>
    <cfRule type="expression" dxfId="64" priority="12">
      <formula>R25&gt;Q25</formula>
    </cfRule>
  </conditionalFormatting>
  <conditionalFormatting sqref="F26">
    <cfRule type="expression" dxfId="63" priority="7">
      <formula>D26=C26</formula>
    </cfRule>
    <cfRule type="expression" dxfId="62" priority="8">
      <formula>D26&lt;C26</formula>
    </cfRule>
    <cfRule type="expression" dxfId="61" priority="9">
      <formula>D26&gt;C26</formula>
    </cfRule>
  </conditionalFormatting>
  <conditionalFormatting sqref="M26">
    <cfRule type="expression" dxfId="60" priority="4">
      <formula>K26=J26</formula>
    </cfRule>
    <cfRule type="expression" dxfId="59" priority="5">
      <formula>K26&lt;J26</formula>
    </cfRule>
    <cfRule type="expression" dxfId="58" priority="6">
      <formula>K26&gt;J26</formula>
    </cfRule>
  </conditionalFormatting>
  <conditionalFormatting sqref="T26">
    <cfRule type="expression" dxfId="57" priority="1">
      <formula>R26=Q26</formula>
    </cfRule>
    <cfRule type="expression" dxfId="56" priority="2">
      <formula>R26&lt;Q26</formula>
    </cfRule>
    <cfRule type="expression" dxfId="55" priority="3">
      <formula>R26&gt;Q26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Q57"/>
  <sheetViews>
    <sheetView showGridLines="0" zoomScale="98" zoomScaleNormal="98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M22" sqref="M22"/>
    </sheetView>
  </sheetViews>
  <sheetFormatPr defaultColWidth="9.109375" defaultRowHeight="14.4" x14ac:dyDescent="0.3"/>
  <cols>
    <col min="1" max="1" width="3.6640625" style="1" customWidth="1"/>
    <col min="2" max="2" width="60.109375" style="1" customWidth="1"/>
    <col min="3" max="4" width="13.33203125" style="1" bestFit="1" customWidth="1"/>
    <col min="5" max="5" width="13.5546875" style="1" customWidth="1"/>
    <col min="6" max="6" width="2.88671875" style="54" customWidth="1"/>
    <col min="7" max="7" width="12.6640625" style="1" bestFit="1" customWidth="1"/>
    <col min="8" max="8" width="7.5546875" style="1" bestFit="1" customWidth="1"/>
    <col min="9" max="9" width="1.5546875" style="1" customWidth="1"/>
    <col min="10" max="10" width="7.109375" style="1" bestFit="1" customWidth="1"/>
    <col min="11" max="11" width="7.109375" style="30" bestFit="1" customWidth="1"/>
    <col min="12" max="12" width="7.77734375" style="1" bestFit="1" customWidth="1"/>
    <col min="13" max="13" width="4.33203125" style="1" customWidth="1"/>
    <col min="14" max="16384" width="9.109375" style="1"/>
  </cols>
  <sheetData>
    <row r="1" spans="2:11" x14ac:dyDescent="0.3">
      <c r="B1" s="188" t="s">
        <v>265</v>
      </c>
    </row>
    <row r="2" spans="2:11" ht="15" thickBot="1" x14ac:dyDescent="0.35">
      <c r="B2" s="8"/>
      <c r="C2" s="74"/>
      <c r="D2" s="74"/>
      <c r="E2" s="74"/>
      <c r="F2" s="10"/>
      <c r="G2" s="11"/>
      <c r="H2" s="10"/>
    </row>
    <row r="3" spans="2:11" s="50" customFormat="1" ht="32.25" customHeight="1" thickBot="1" x14ac:dyDescent="0.35">
      <c r="B3" s="139" t="s">
        <v>44</v>
      </c>
      <c r="C3" s="140" t="s">
        <v>269</v>
      </c>
      <c r="D3" s="140" t="s">
        <v>270</v>
      </c>
      <c r="E3" s="140" t="s">
        <v>271</v>
      </c>
      <c r="F3" s="211" t="str">
        <f>CONCATENATE(Data_Interim!P3," vs. ",Data_Interim!O3)</f>
        <v>2021 vs. 2020</v>
      </c>
      <c r="G3" s="211"/>
      <c r="H3" s="211"/>
      <c r="K3" s="51"/>
    </row>
    <row r="4" spans="2:11" x14ac:dyDescent="0.3">
      <c r="B4" s="13" t="s">
        <v>45</v>
      </c>
      <c r="C4" s="13">
        <f>SUMIF(Data_Interim!$C:$C,$B4,Data_Interim!N:N)</f>
        <v>187560270.35068965</v>
      </c>
      <c r="D4" s="13">
        <f>SUMIF(Data_Interim!$C:$C,$B4,Data_Interim!O:O)</f>
        <v>193429377.01944542</v>
      </c>
      <c r="E4" s="13">
        <f>SUMIF(Data_Interim!$C:$C,$B4,Data_Interim!P:P)</f>
        <v>247006542.93567088</v>
      </c>
      <c r="F4" s="9" t="str">
        <f>IF(E4+D4&gt;0,IF(E4&gt;D4,"▲",IF(E4=D4,"▬","▼")),IF(E4&gt;D4,"▼",IF(E4=D4,"▬","▲")))</f>
        <v>▲</v>
      </c>
      <c r="G4" s="13">
        <f>E4-D4</f>
        <v>53577165.916225463</v>
      </c>
      <c r="H4" s="14">
        <f>E4/D4-1</f>
        <v>0.27698567167922672</v>
      </c>
    </row>
    <row r="5" spans="2:11" x14ac:dyDescent="0.3">
      <c r="B5" s="15" t="s">
        <v>185</v>
      </c>
      <c r="C5" s="15">
        <f>SUMIF(Data_Interim!$C:$C,$B5,Data_Interim!N:N)</f>
        <v>4121692.34</v>
      </c>
      <c r="D5" s="15">
        <f>SUMIF(Data_Interim!$C:$C,$B5,Data_Interim!O:O)</f>
        <v>3648286.5999999996</v>
      </c>
      <c r="E5" s="15">
        <f>SUMIF(Data_Interim!$C:$C,$B5,Data_Interim!P:P)</f>
        <v>3976151.5</v>
      </c>
      <c r="F5" s="9" t="str">
        <f t="shared" ref="F5:F27" si="0">IF(E5+D5&gt;0,IF(E5&gt;D5,"▲",IF(E5=D5,"▬","▼")),IF(E5&gt;D5,"▼",IF(E5=D5,"▬","▲")))</f>
        <v>▲</v>
      </c>
      <c r="G5" s="15">
        <f t="shared" ref="G5:G27" si="1">E5-D5</f>
        <v>327864.90000000037</v>
      </c>
      <c r="H5" s="14">
        <f t="shared" ref="H5:H18" si="2">E5/D5-1</f>
        <v>8.9868186342597189E-2</v>
      </c>
    </row>
    <row r="6" spans="2:11" x14ac:dyDescent="0.3">
      <c r="B6" s="15" t="s">
        <v>187</v>
      </c>
      <c r="C6" s="15">
        <f>SUMIF(Data_Interim!$C:$C,$B6,Data_Interim!N:N)</f>
        <v>4198844</v>
      </c>
      <c r="D6" s="15">
        <f>SUMIF(Data_Interim!$C:$C,$B6,Data_Interim!O:O)</f>
        <v>-973188</v>
      </c>
      <c r="E6" s="15">
        <f>SUMIF(Data_Interim!$C:$C,$B6,Data_Interim!P:P)</f>
        <v>4388103.8899999997</v>
      </c>
      <c r="F6" s="9" t="str">
        <f t="shared" si="0"/>
        <v>▲</v>
      </c>
      <c r="G6" s="15">
        <f t="shared" si="1"/>
        <v>5361291.8899999997</v>
      </c>
      <c r="H6" s="14">
        <f t="shared" si="2"/>
        <v>-5.5089991759043473</v>
      </c>
    </row>
    <row r="7" spans="2:11" x14ac:dyDescent="0.3">
      <c r="B7" s="15" t="s">
        <v>46</v>
      </c>
      <c r="C7" s="15">
        <f>SUMIF(Data_Interim!$C:$C,$B7,Data_Interim!N:N)</f>
        <v>-119691376.31676728</v>
      </c>
      <c r="D7" s="15">
        <f>SUMIF(Data_Interim!$C:$C,$B7,Data_Interim!O:O)</f>
        <v>-112526038.48234725</v>
      </c>
      <c r="E7" s="15">
        <f>SUMIF(Data_Interim!$C:$C,$B7,Data_Interim!P:P)</f>
        <v>-168812815.59651133</v>
      </c>
      <c r="F7" s="9" t="str">
        <f t="shared" si="0"/>
        <v>▲</v>
      </c>
      <c r="G7" s="15">
        <f t="shared" si="1"/>
        <v>-56286777.114164084</v>
      </c>
      <c r="H7" s="14">
        <f t="shared" si="2"/>
        <v>0.50021113222602409</v>
      </c>
    </row>
    <row r="8" spans="2:11" x14ac:dyDescent="0.3">
      <c r="B8" s="15" t="s">
        <v>232</v>
      </c>
      <c r="C8" s="15">
        <f>SUMIF(Data_Interim!$C:$C,$B8,Data_Interim!N:N)</f>
        <v>-50471460.919999994</v>
      </c>
      <c r="D8" s="15">
        <f>SUMIF(Data_Interim!$C:$C,$B8,Data_Interim!O:O)</f>
        <v>-52220575.539999999</v>
      </c>
      <c r="E8" s="15">
        <f>SUMIF(Data_Interim!$C:$C,$B8,Data_Interim!P:P)</f>
        <v>-55550132.920000002</v>
      </c>
      <c r="F8" s="9" t="str">
        <f t="shared" si="0"/>
        <v>▲</v>
      </c>
      <c r="G8" s="15">
        <f t="shared" si="1"/>
        <v>-3329557.3800000027</v>
      </c>
      <c r="H8" s="14">
        <f t="shared" si="2"/>
        <v>6.3759492222555503E-2</v>
      </c>
    </row>
    <row r="9" spans="2:11" x14ac:dyDescent="0.3">
      <c r="B9" s="15" t="s">
        <v>47</v>
      </c>
      <c r="C9" s="15">
        <f>SUMIF(Data_Interim!$C:$C,$B9,Data_Interim!N:N)</f>
        <v>-12228469.539999999</v>
      </c>
      <c r="D9" s="15">
        <f>SUMIF(Data_Interim!$C:$C,$B9,Data_Interim!O:O)</f>
        <v>-11510071.9</v>
      </c>
      <c r="E9" s="15">
        <f>SUMIF(Data_Interim!$C:$C,$B9,Data_Interim!P:P)</f>
        <v>-11181367.649999999</v>
      </c>
      <c r="F9" s="9" t="str">
        <f t="shared" si="0"/>
        <v>▼</v>
      </c>
      <c r="G9" s="15">
        <f t="shared" si="1"/>
        <v>328704.25000000186</v>
      </c>
      <c r="H9" s="14">
        <f t="shared" si="2"/>
        <v>-2.8557966696976189E-2</v>
      </c>
    </row>
    <row r="10" spans="2:11" x14ac:dyDescent="0.3">
      <c r="B10" s="15" t="s">
        <v>49</v>
      </c>
      <c r="C10" s="15">
        <f>SUMIF(Data_Interim!$C:$C,$B10,Data_Interim!N:N)</f>
        <v>-13321558.963716043</v>
      </c>
      <c r="D10" s="15">
        <f>SUMIF(Data_Interim!$C:$C,$B10,Data_Interim!O:O)</f>
        <v>-13649943.76</v>
      </c>
      <c r="E10" s="15">
        <f>SUMIF(Data_Interim!$C:$C,$B10,Data_Interim!P:P)</f>
        <v>-14365084</v>
      </c>
      <c r="F10" s="9" t="str">
        <f t="shared" si="0"/>
        <v>▲</v>
      </c>
      <c r="G10" s="15">
        <f t="shared" si="1"/>
        <v>-715140.24000000022</v>
      </c>
      <c r="H10" s="14"/>
    </row>
    <row r="11" spans="2:11" ht="15" thickBot="1" x14ac:dyDescent="0.35">
      <c r="B11" s="15" t="s">
        <v>233</v>
      </c>
      <c r="C11" s="15">
        <f>SUMIF(Data_Interim!$C:$C,$B11,Data_Interim!N:N)</f>
        <v>2596661.73</v>
      </c>
      <c r="D11" s="15">
        <f>SUMIF(Data_Interim!$C:$C,$B11,Data_Interim!O:O)</f>
        <v>858665.71999999974</v>
      </c>
      <c r="E11" s="15">
        <f>SUMIF(Data_Interim!$C:$C,$B11,Data_Interim!P:P)</f>
        <v>413971.02999999997</v>
      </c>
      <c r="F11" s="9" t="str">
        <f t="shared" si="0"/>
        <v>▼</v>
      </c>
      <c r="G11" s="15">
        <f t="shared" si="1"/>
        <v>-444694.68999999977</v>
      </c>
      <c r="H11" s="14">
        <f t="shared" si="2"/>
        <v>-0.5178903496927767</v>
      </c>
    </row>
    <row r="12" spans="2:11" ht="15" thickBot="1" x14ac:dyDescent="0.35">
      <c r="B12" s="142" t="s">
        <v>194</v>
      </c>
      <c r="C12" s="141">
        <f t="shared" ref="C12:E12" si="3">SUM(C4:C11)</f>
        <v>2764602.6802063412</v>
      </c>
      <c r="D12" s="141">
        <f t="shared" si="3"/>
        <v>7056511.6570981657</v>
      </c>
      <c r="E12" s="141">
        <f t="shared" si="3"/>
        <v>5875369.1891595339</v>
      </c>
      <c r="F12" s="143" t="str">
        <f t="shared" si="0"/>
        <v>▼</v>
      </c>
      <c r="G12" s="144">
        <f t="shared" si="1"/>
        <v>-1181142.4679386318</v>
      </c>
      <c r="H12" s="145">
        <f t="shared" si="2"/>
        <v>-0.16738333688579921</v>
      </c>
    </row>
    <row r="13" spans="2:11" x14ac:dyDescent="0.3">
      <c r="B13" s="15" t="s">
        <v>196</v>
      </c>
      <c r="C13" s="15">
        <f>SUMIF(Data_Interim!$C:$C,$B13,Data_Interim!N:N)</f>
        <v>5917.8199999999906</v>
      </c>
      <c r="D13" s="15">
        <f>SUMIF(Data_Interim!$C:$C,$B13,Data_Interim!O:O)</f>
        <v>38724.54</v>
      </c>
      <c r="E13" s="15">
        <f>SUMIF(Data_Interim!$C:$C,$B13,Data_Interim!P:P)</f>
        <v>73394.049999999988</v>
      </c>
      <c r="F13" s="9" t="str">
        <f t="shared" si="0"/>
        <v>▲</v>
      </c>
      <c r="G13" s="15">
        <f t="shared" si="1"/>
        <v>34669.509999999987</v>
      </c>
      <c r="H13" s="14">
        <f t="shared" si="2"/>
        <v>0.8952852635563906</v>
      </c>
    </row>
    <row r="14" spans="2:11" x14ac:dyDescent="0.3">
      <c r="B14" s="15" t="s">
        <v>234</v>
      </c>
      <c r="C14" s="15">
        <f>SUMIF(Data_Interim!$C:$C,$B14,Data_Interim!N:N)</f>
        <v>-3335422.2516161175</v>
      </c>
      <c r="D14" s="15">
        <f>SUMIF(Data_Interim!$C:$C,$B14,Data_Interim!O:O)</f>
        <v>-2862097.8992093513</v>
      </c>
      <c r="E14" s="15">
        <f>SUMIF(Data_Interim!$C:$C,$B14,Data_Interim!P:P)</f>
        <v>-2375355.880543605</v>
      </c>
      <c r="F14" s="9" t="str">
        <f t="shared" si="0"/>
        <v>▼</v>
      </c>
      <c r="G14" s="15">
        <f t="shared" si="1"/>
        <v>486742.01866574632</v>
      </c>
      <c r="H14" s="14">
        <f t="shared" si="2"/>
        <v>-0.17006476920311075</v>
      </c>
    </row>
    <row r="15" spans="2:11" ht="15" thickBot="1" x14ac:dyDescent="0.35">
      <c r="B15" s="15" t="s">
        <v>236</v>
      </c>
      <c r="C15" s="15">
        <f>SUMIF(Data_Interim!$C:$C,$B15,Data_Interim!N:N)</f>
        <v>1432865.6837778185</v>
      </c>
      <c r="D15" s="15">
        <f>SUMIF(Data_Interim!$C:$C,$B15,Data_Interim!O:O)</f>
        <v>-1244002.6943192671</v>
      </c>
      <c r="E15" s="15">
        <f>SUMIF(Data_Interim!$C:$C,$B15,Data_Interim!P:P)</f>
        <v>2857338.5149612864</v>
      </c>
      <c r="F15" s="9" t="str">
        <f t="shared" si="0"/>
        <v>▲</v>
      </c>
      <c r="G15" s="15">
        <f t="shared" si="1"/>
        <v>4101341.2092805533</v>
      </c>
      <c r="H15" s="14">
        <f t="shared" si="2"/>
        <v>-3.2968909376236164</v>
      </c>
    </row>
    <row r="16" spans="2:11" ht="15" thickBot="1" x14ac:dyDescent="0.35">
      <c r="B16" s="142" t="s">
        <v>51</v>
      </c>
      <c r="C16" s="141">
        <f t="shared" ref="C16:E16" si="4">SUM(C12:C15)</f>
        <v>867963.93236804195</v>
      </c>
      <c r="D16" s="141">
        <f t="shared" si="4"/>
        <v>2989135.6035695476</v>
      </c>
      <c r="E16" s="141">
        <f t="shared" si="4"/>
        <v>6430745.8735772148</v>
      </c>
      <c r="F16" s="143" t="str">
        <f t="shared" si="0"/>
        <v>▲</v>
      </c>
      <c r="G16" s="144">
        <f t="shared" si="1"/>
        <v>3441610.2700076671</v>
      </c>
      <c r="H16" s="145">
        <f t="shared" si="2"/>
        <v>1.1513730812003931</v>
      </c>
    </row>
    <row r="17" spans="2:17" ht="15" thickBot="1" x14ac:dyDescent="0.35">
      <c r="B17" s="15" t="s">
        <v>238</v>
      </c>
      <c r="C17" s="15">
        <f>SUMIF(Data_Interim!$C:$C,$B17,Data_Interim!N:N)</f>
        <v>-302904</v>
      </c>
      <c r="D17" s="15">
        <f>SUMIF(Data_Interim!$C:$C,$B17,Data_Interim!O:O)</f>
        <v>-457742</v>
      </c>
      <c r="E17" s="15">
        <f>SUMIF(Data_Interim!$C:$C,$B17,Data_Interim!P:P)</f>
        <v>-754563.4</v>
      </c>
      <c r="F17" s="48" t="str">
        <f t="shared" si="0"/>
        <v>▲</v>
      </c>
      <c r="G17" s="15">
        <f t="shared" si="1"/>
        <v>-296821.40000000002</v>
      </c>
      <c r="H17" s="59">
        <f t="shared" si="2"/>
        <v>0.64844694172699913</v>
      </c>
    </row>
    <row r="18" spans="2:17" ht="15" thickBot="1" x14ac:dyDescent="0.35">
      <c r="B18" s="142" t="s">
        <v>240</v>
      </c>
      <c r="C18" s="141">
        <f>C16+C17</f>
        <v>565059.93236804195</v>
      </c>
      <c r="D18" s="141">
        <f>D16+D17</f>
        <v>2531393.6035695476</v>
      </c>
      <c r="E18" s="141">
        <f t="shared" ref="E18" si="5">E16+E17</f>
        <v>5676182.4735772144</v>
      </c>
      <c r="F18" s="143" t="str">
        <f t="shared" si="0"/>
        <v>▲</v>
      </c>
      <c r="G18" s="144">
        <f t="shared" si="1"/>
        <v>3144788.8700076668</v>
      </c>
      <c r="H18" s="145">
        <f t="shared" si="2"/>
        <v>1.2423152470533081</v>
      </c>
    </row>
    <row r="19" spans="2:17" ht="15" thickBot="1" x14ac:dyDescent="0.35">
      <c r="B19" s="15" t="s">
        <v>241</v>
      </c>
      <c r="C19" s="15">
        <f>SUMIF(Data_Interim!$C:$C,$B19,Data_Interim!N:N)</f>
        <v>565748.93236804195</v>
      </c>
      <c r="D19" s="15">
        <f>SUMIF(Data_Interim!$C:$C,$B19,Data_Interim!O:O)</f>
        <v>2527355.6035695476</v>
      </c>
      <c r="E19" s="15">
        <f>SUMIF(Data_Interim!$C:$C,$B19,Data_Interim!P:P)</f>
        <v>5678872.4735772144</v>
      </c>
      <c r="F19" s="48" t="str">
        <f t="shared" ref="F19:F21" si="6">IF(E19+D19&gt;0,IF(E19&gt;D19,"▲",IF(E19=D19,"▬","▼")),IF(E19&gt;D19,"▼",IF(E19=D19,"▬","▲")))</f>
        <v>▲</v>
      </c>
      <c r="G19" s="15">
        <f t="shared" ref="G19:G21" si="7">E19-D19</f>
        <v>3151516.8700076668</v>
      </c>
      <c r="H19" s="59">
        <f t="shared" ref="H19:H21" si="8">E19/D19-1</f>
        <v>1.2469621867047818</v>
      </c>
    </row>
    <row r="20" spans="2:17" ht="15" thickBot="1" x14ac:dyDescent="0.35">
      <c r="B20" s="15" t="s">
        <v>242</v>
      </c>
      <c r="C20" s="15">
        <f>SUMIF(Data_Interim!$C:$C,$B20,Data_Interim!N:N)</f>
        <v>-689</v>
      </c>
      <c r="D20" s="15">
        <f>SUMIF(Data_Interim!$C:$C,$B20,Data_Interim!O:O)</f>
        <v>4038</v>
      </c>
      <c r="E20" s="15">
        <f>SUMIF(Data_Interim!$C:$C,$B20,Data_Interim!P:P)</f>
        <v>-2690</v>
      </c>
      <c r="F20" s="48" t="str">
        <f t="shared" si="6"/>
        <v>▼</v>
      </c>
      <c r="G20" s="15">
        <f t="shared" si="7"/>
        <v>-6728</v>
      </c>
      <c r="H20" s="59">
        <f t="shared" si="8"/>
        <v>-1.6661713719663198</v>
      </c>
    </row>
    <row r="21" spans="2:17" ht="15" thickBot="1" x14ac:dyDescent="0.35">
      <c r="B21" s="142" t="s">
        <v>244</v>
      </c>
      <c r="C21" s="190">
        <f t="shared" ref="C21:E21" si="9">C19+C20</f>
        <v>565059.93236804195</v>
      </c>
      <c r="D21" s="190">
        <f t="shared" si="9"/>
        <v>2531393.6035695476</v>
      </c>
      <c r="E21" s="190">
        <f t="shared" si="9"/>
        <v>5676182.4735772144</v>
      </c>
      <c r="F21" s="191" t="str">
        <f t="shared" si="6"/>
        <v>▲</v>
      </c>
      <c r="G21" s="128">
        <f t="shared" si="7"/>
        <v>3144788.8700076668</v>
      </c>
      <c r="H21" s="192">
        <f t="shared" si="8"/>
        <v>1.2423152470533081</v>
      </c>
    </row>
    <row r="22" spans="2:17" ht="15" thickBot="1" x14ac:dyDescent="0.35">
      <c r="B22" s="15" t="s">
        <v>246</v>
      </c>
      <c r="C22" s="15">
        <f>SUMIF(Data_Interim!$C:$C,$B22,Data_Interim!N:N)</f>
        <v>144</v>
      </c>
      <c r="D22" s="15">
        <f>SUMIF(Data_Interim!$C:$C,$B22,Data_Interim!O:O)</f>
        <v>12171</v>
      </c>
      <c r="E22" s="15">
        <f>SUMIF(Data_Interim!$C:$C,$B22,Data_Interim!P:P)</f>
        <v>114</v>
      </c>
      <c r="F22" s="48" t="str">
        <f t="shared" ref="F22:F25" si="10">IF(E22+D22&gt;0,IF(E22&gt;D22,"▲",IF(E22=D22,"▬","▼")),IF(E22&gt;D22,"▼",IF(E22=D22,"▬","▲")))</f>
        <v>▼</v>
      </c>
      <c r="G22" s="15">
        <f t="shared" ref="G22:G25" si="11">E22-D22</f>
        <v>-12057</v>
      </c>
      <c r="H22" s="59">
        <f t="shared" ref="H22:H25" si="12">E22/D22-1</f>
        <v>-0.99063347300961302</v>
      </c>
    </row>
    <row r="23" spans="2:17" ht="15" thickBot="1" x14ac:dyDescent="0.35">
      <c r="B23" s="15" t="s">
        <v>248</v>
      </c>
      <c r="C23" s="15">
        <f>SUMIF(Data_Interim!$C:$C,$B23,Data_Interim!N:N)</f>
        <v>0</v>
      </c>
      <c r="D23" s="15">
        <f>SUMIF(Data_Interim!$C:$C,$B23,Data_Interim!O:O)</f>
        <v>0</v>
      </c>
      <c r="E23" s="15">
        <f>SUMIF(Data_Interim!$C:$C,$B23,Data_Interim!P:P)</f>
        <v>0</v>
      </c>
      <c r="F23" s="48" t="str">
        <f t="shared" si="10"/>
        <v>▬</v>
      </c>
      <c r="G23" s="15">
        <f t="shared" si="11"/>
        <v>0</v>
      </c>
      <c r="H23" s="59" t="e">
        <f t="shared" si="12"/>
        <v>#DIV/0!</v>
      </c>
    </row>
    <row r="24" spans="2:17" ht="15" thickBot="1" x14ac:dyDescent="0.35">
      <c r="B24" s="15" t="s">
        <v>250</v>
      </c>
      <c r="C24" s="15">
        <f>SUMIF(Data_Interim!$C:$C,$B24,Data_Interim!N:N)</f>
        <v>0</v>
      </c>
      <c r="D24" s="15">
        <f>SUMIF(Data_Interim!$C:$C,$B24,Data_Interim!O:O)</f>
        <v>0</v>
      </c>
      <c r="E24" s="15">
        <f>SUMIF(Data_Interim!$C:$C,$B24,Data_Interim!P:P)</f>
        <v>0</v>
      </c>
      <c r="F24" s="48" t="str">
        <f t="shared" si="10"/>
        <v>▬</v>
      </c>
      <c r="G24" s="15">
        <f t="shared" si="11"/>
        <v>0</v>
      </c>
      <c r="H24" s="59" t="e">
        <f t="shared" si="12"/>
        <v>#DIV/0!</v>
      </c>
    </row>
    <row r="25" spans="2:17" ht="15" thickBot="1" x14ac:dyDescent="0.35">
      <c r="B25" s="142" t="s">
        <v>252</v>
      </c>
      <c r="C25" s="141">
        <f>C21+C22+C23+C24</f>
        <v>565203.93236804195</v>
      </c>
      <c r="D25" s="141">
        <f t="shared" ref="D25:E25" si="13">D21+D22+D23+D24</f>
        <v>2543564.6035695476</v>
      </c>
      <c r="E25" s="141">
        <f t="shared" si="13"/>
        <v>5676296.4735772144</v>
      </c>
      <c r="F25" s="191" t="str">
        <f t="shared" si="10"/>
        <v>▲</v>
      </c>
      <c r="G25" s="128">
        <f t="shared" si="11"/>
        <v>3132731.8700076668</v>
      </c>
      <c r="H25" s="192">
        <f t="shared" si="12"/>
        <v>1.2316305493523942</v>
      </c>
    </row>
    <row r="26" spans="2:17" x14ac:dyDescent="0.3">
      <c r="B26" s="15" t="s">
        <v>253</v>
      </c>
      <c r="C26" s="9">
        <f>SUMIF(Data_Interim!$C:$C,$B26,Data_Interim!N:N)</f>
        <v>565892.50007044594</v>
      </c>
      <c r="D26" s="9">
        <f>SUMIF(Data_Interim!$C:$C,$B26,Data_Interim!O:O)</f>
        <v>2539526.6035695476</v>
      </c>
      <c r="E26" s="9">
        <f>SUMIF(Data_Interim!$C:$C,$B26,Data_Interim!P:P)</f>
        <v>5678986.4735772144</v>
      </c>
      <c r="F26" s="9" t="str">
        <f t="shared" si="0"/>
        <v>▲</v>
      </c>
      <c r="G26" s="15">
        <f t="shared" si="1"/>
        <v>3139459.8700076668</v>
      </c>
      <c r="H26" s="59"/>
    </row>
    <row r="27" spans="2:17" x14ac:dyDescent="0.3">
      <c r="B27" s="18" t="s">
        <v>254</v>
      </c>
      <c r="C27" s="19">
        <f>SUMIF(Data_Interim!$C:$C,$B27,Data_Interim!N:N)</f>
        <v>-688.5677024040051</v>
      </c>
      <c r="D27" s="19">
        <f>SUMIF(Data_Interim!$C:$C,$B27,Data_Interim!O:O)</f>
        <v>4038</v>
      </c>
      <c r="E27" s="19">
        <f>SUMIF(Data_Interim!$C:$C,$B27,Data_Interim!P:P)</f>
        <v>-2690</v>
      </c>
      <c r="F27" s="9" t="str">
        <f t="shared" si="0"/>
        <v>▼</v>
      </c>
      <c r="G27" s="15">
        <f t="shared" si="1"/>
        <v>-6728</v>
      </c>
      <c r="H27" s="14"/>
    </row>
    <row r="28" spans="2:17" x14ac:dyDescent="0.3">
      <c r="B28" s="18"/>
      <c r="C28" s="19"/>
      <c r="D28" s="19"/>
      <c r="E28" s="19"/>
      <c r="F28" s="9"/>
      <c r="G28" s="15"/>
      <c r="H28" s="14"/>
    </row>
    <row r="29" spans="2:17" ht="7.5" customHeight="1" x14ac:dyDescent="0.3"/>
    <row r="30" spans="2:17" ht="15.75" customHeight="1" x14ac:dyDescent="0.3">
      <c r="B30" s="122" t="s">
        <v>60</v>
      </c>
      <c r="J30" s="189" t="s">
        <v>104</v>
      </c>
      <c r="K30" s="189"/>
      <c r="L30" s="189"/>
    </row>
    <row r="31" spans="2:17" ht="6.75" customHeight="1" thickBot="1" x14ac:dyDescent="0.35"/>
    <row r="32" spans="2:17" s="50" customFormat="1" ht="30.6" thickBot="1" x14ac:dyDescent="0.35">
      <c r="B32" s="139"/>
      <c r="C32" s="140" t="str">
        <f t="shared" ref="C32:E32" si="14">C3</f>
        <v>9 Months 2019</v>
      </c>
      <c r="D32" s="140" t="str">
        <f t="shared" si="14"/>
        <v>9 Months 2020</v>
      </c>
      <c r="E32" s="140" t="str">
        <f t="shared" si="14"/>
        <v>9 Months 2021</v>
      </c>
      <c r="F32" s="211" t="str">
        <f>CONCATENATE(Data_Interim!P3," vs. ",Data_Interim!O3)</f>
        <v>2021 vs. 2020</v>
      </c>
      <c r="G32" s="211"/>
      <c r="H32" s="211"/>
      <c r="J32" s="146">
        <f>Data_Interim!N3</f>
        <v>2019</v>
      </c>
      <c r="K32" s="146">
        <f>Data_Interim!O3</f>
        <v>2020</v>
      </c>
      <c r="L32" s="146">
        <f>Data_Interim!P3</f>
        <v>2021</v>
      </c>
      <c r="N32" s="1"/>
      <c r="O32" s="1"/>
      <c r="P32" s="1"/>
      <c r="Q32" s="1"/>
    </row>
    <row r="33" spans="2:17" s="89" customFormat="1" x14ac:dyDescent="0.3">
      <c r="B33" s="89" t="s">
        <v>145</v>
      </c>
      <c r="C33" s="91">
        <f>SUMIF(Data_Interim!$C:$C,$B33,Data_Interim!N:N)</f>
        <v>161928909.5</v>
      </c>
      <c r="D33" s="91">
        <f>SUMIF(Data_Interim!$C:$C,$B33,Data_Interim!O:O)</f>
        <v>167613932.57142857</v>
      </c>
      <c r="E33" s="91">
        <f>SUMIF(Data_Interim!$C:$C,$B33,Data_Interim!P:P)</f>
        <v>206706148.37000003</v>
      </c>
      <c r="F33" s="9" t="str">
        <f t="shared" ref="F33:F38" si="15">IF(E33+D33&gt;0,IF(E33&gt;D33,"▲",IF(E33=D33,"▬","▼")),IF(E33&gt;D33,"▼",IF(E33=D33,"▬","▲")))</f>
        <v>▲</v>
      </c>
      <c r="G33" s="13">
        <f t="shared" ref="G33:G38" si="16">E33-D33</f>
        <v>39092215.798571467</v>
      </c>
      <c r="H33" s="14">
        <f t="shared" ref="H33:H38" si="17">E33/D33-1</f>
        <v>0.23322772277246306</v>
      </c>
      <c r="I33" s="22"/>
      <c r="J33" s="92">
        <f t="shared" ref="J33:L37" si="18">C33/C$38</f>
        <v>0.86334333597000279</v>
      </c>
      <c r="K33" s="92">
        <f t="shared" si="18"/>
        <v>0.86653813993609863</v>
      </c>
      <c r="L33" s="93">
        <f t="shared" si="18"/>
        <v>0.83684482974944308</v>
      </c>
      <c r="N33" s="22"/>
      <c r="O33" s="22"/>
      <c r="P33" s="22"/>
      <c r="Q33" s="22"/>
    </row>
    <row r="34" spans="2:17" s="89" customFormat="1" x14ac:dyDescent="0.3">
      <c r="B34" s="89" t="s">
        <v>258</v>
      </c>
      <c r="C34" s="9">
        <f>SUMIF(Data_Interim!$C:$C,$B34,Data_Interim!N:N)</f>
        <v>9256629.5506896544</v>
      </c>
      <c r="D34" s="9">
        <f>SUMIF(Data_Interim!$C:$C,$B34,Data_Interim!O:O)</f>
        <v>10129530.228016851</v>
      </c>
      <c r="E34" s="9">
        <f>SUMIF(Data_Interim!$C:$C,$B34,Data_Interim!P:P)</f>
        <v>11780651.832881356</v>
      </c>
      <c r="F34" s="9" t="str">
        <f t="shared" si="15"/>
        <v>▲</v>
      </c>
      <c r="G34" s="13">
        <f t="shared" si="16"/>
        <v>1651121.6048645042</v>
      </c>
      <c r="H34" s="14">
        <f>E34/D34-1</f>
        <v>0.16300080731263678</v>
      </c>
      <c r="I34" s="22"/>
      <c r="J34" s="93">
        <f t="shared" si="18"/>
        <v>4.935282687203494E-2</v>
      </c>
      <c r="K34" s="93">
        <f t="shared" si="18"/>
        <v>5.2368106562213308E-2</v>
      </c>
      <c r="L34" s="93">
        <f t="shared" si="18"/>
        <v>4.7693683304370793E-2</v>
      </c>
      <c r="N34" s="22"/>
      <c r="O34" s="22"/>
      <c r="P34" s="22"/>
      <c r="Q34" s="22"/>
    </row>
    <row r="35" spans="2:17" s="89" customFormat="1" x14ac:dyDescent="0.3">
      <c r="B35" s="89" t="s">
        <v>61</v>
      </c>
      <c r="C35" s="9">
        <f>SUMIF(Data_Interim!$C:$C,$B35,Data_Interim!N:N)</f>
        <v>1568862.54</v>
      </c>
      <c r="D35" s="9">
        <f>SUMIF(Data_Interim!$C:$C,$B35,Data_Interim!O:O)</f>
        <v>3080131.46</v>
      </c>
      <c r="E35" s="9">
        <f>SUMIF(Data_Interim!$C:$C,$B35,Data_Interim!P:P)</f>
        <v>2450551.92</v>
      </c>
      <c r="F35" s="9" t="str">
        <f t="shared" si="15"/>
        <v>▼</v>
      </c>
      <c r="G35" s="13">
        <f t="shared" si="16"/>
        <v>-629579.54</v>
      </c>
      <c r="H35" s="14">
        <f t="shared" si="17"/>
        <v>-0.20440021738552683</v>
      </c>
      <c r="I35" s="22"/>
      <c r="J35" s="93">
        <f t="shared" si="18"/>
        <v>8.3645781543534199E-3</v>
      </c>
      <c r="K35" s="93">
        <f t="shared" si="18"/>
        <v>1.5923803857830526E-2</v>
      </c>
      <c r="L35" s="93">
        <f t="shared" si="18"/>
        <v>9.9210000305061108E-3</v>
      </c>
      <c r="N35" s="22"/>
      <c r="O35" s="22"/>
      <c r="P35" s="22"/>
      <c r="Q35" s="22"/>
    </row>
    <row r="36" spans="2:17" s="89" customFormat="1" x14ac:dyDescent="0.3">
      <c r="B36" s="89" t="s">
        <v>62</v>
      </c>
      <c r="C36" s="9">
        <f>SUMIF(Data_Interim!$C:$C,$B36,Data_Interim!N:N)</f>
        <v>14408185.819999997</v>
      </c>
      <c r="D36" s="9">
        <f>SUMIF(Data_Interim!$C:$C,$B36,Data_Interim!O:O)</f>
        <v>12220325.159999996</v>
      </c>
      <c r="E36" s="9">
        <f>SUMIF(Data_Interim!$C:$C,$B36,Data_Interim!P:P)</f>
        <v>25890203.652789541</v>
      </c>
      <c r="F36" s="9" t="str">
        <f t="shared" si="15"/>
        <v>▲</v>
      </c>
      <c r="G36" s="13">
        <f t="shared" si="16"/>
        <v>13669878.492789544</v>
      </c>
      <c r="H36" s="14">
        <f t="shared" si="17"/>
        <v>1.1186182293687468</v>
      </c>
      <c r="I36" s="22"/>
      <c r="J36" s="93">
        <f t="shared" si="18"/>
        <v>7.6818964874919307E-2</v>
      </c>
      <c r="K36" s="93">
        <f t="shared" si="18"/>
        <v>6.3177193393801234E-2</v>
      </c>
      <c r="L36" s="93">
        <f t="shared" si="18"/>
        <v>0.10481586173825463</v>
      </c>
      <c r="N36" s="22"/>
      <c r="O36" s="22"/>
      <c r="P36" s="22"/>
      <c r="Q36" s="22"/>
    </row>
    <row r="37" spans="2:17" s="89" customFormat="1" ht="15" thickBot="1" x14ac:dyDescent="0.35">
      <c r="B37" s="89" t="s">
        <v>63</v>
      </c>
      <c r="C37" s="9">
        <f>SUMIF(Data_Interim!$C:$C,$B37,Data_Interim!N:N)</f>
        <v>397682.93999999994</v>
      </c>
      <c r="D37" s="9">
        <f>SUMIF(Data_Interim!$C:$C,$B37,Data_Interim!O:O)</f>
        <v>385457.60000000056</v>
      </c>
      <c r="E37" s="9">
        <f>SUMIF(Data_Interim!$C:$C,$B37,Data_Interim!P:P)</f>
        <v>178987.16000000015</v>
      </c>
      <c r="F37" s="9" t="str">
        <f t="shared" si="15"/>
        <v>▼</v>
      </c>
      <c r="G37" s="13">
        <f t="shared" si="16"/>
        <v>-206470.44000000041</v>
      </c>
      <c r="H37" s="14">
        <f t="shared" si="17"/>
        <v>-0.53565019862106777</v>
      </c>
      <c r="I37" s="22"/>
      <c r="J37" s="93">
        <f t="shared" si="18"/>
        <v>2.1202941286895928E-3</v>
      </c>
      <c r="K37" s="93">
        <f t="shared" si="18"/>
        <v>1.992756250056322E-3</v>
      </c>
      <c r="L37" s="93">
        <f t="shared" si="18"/>
        <v>7.2462517742541996E-4</v>
      </c>
      <c r="N37" s="22"/>
      <c r="O37" s="22"/>
      <c r="P37" s="22"/>
      <c r="Q37" s="22"/>
    </row>
    <row r="38" spans="2:17" s="22" customFormat="1" ht="15" thickBot="1" x14ac:dyDescent="0.35">
      <c r="B38" s="12"/>
      <c r="C38" s="16">
        <f t="shared" ref="C38:E38" si="19">SUM(C33:C37)</f>
        <v>187560270.35068965</v>
      </c>
      <c r="D38" s="16">
        <f t="shared" si="19"/>
        <v>193429377.01944542</v>
      </c>
      <c r="E38" s="16">
        <f t="shared" si="19"/>
        <v>247006542.93567091</v>
      </c>
      <c r="F38" s="48" t="str">
        <f t="shared" si="15"/>
        <v>▲</v>
      </c>
      <c r="G38" s="38">
        <f t="shared" si="16"/>
        <v>53577165.916225493</v>
      </c>
      <c r="H38" s="17">
        <f t="shared" si="17"/>
        <v>0.27698567167922694</v>
      </c>
      <c r="J38" s="90">
        <f t="shared" ref="J38:L38" si="20">SUM(J33:J37)</f>
        <v>1</v>
      </c>
      <c r="K38" s="90">
        <f t="shared" si="20"/>
        <v>1</v>
      </c>
      <c r="L38" s="90">
        <f t="shared" si="20"/>
        <v>1</v>
      </c>
    </row>
    <row r="39" spans="2:17" s="21" customFormat="1" ht="15.75" customHeight="1" x14ac:dyDescent="0.3">
      <c r="B39" s="26"/>
      <c r="C39" s="83">
        <f t="shared" ref="C39:E39" si="21">C38-C4</f>
        <v>0</v>
      </c>
      <c r="D39" s="83">
        <f t="shared" si="21"/>
        <v>0</v>
      </c>
      <c r="E39" s="83">
        <f t="shared" si="21"/>
        <v>0</v>
      </c>
      <c r="F39" s="49"/>
      <c r="G39" s="27"/>
      <c r="H39" s="28"/>
      <c r="K39" s="30"/>
      <c r="N39" s="1"/>
      <c r="O39" s="1"/>
      <c r="P39" s="1"/>
      <c r="Q39" s="1"/>
    </row>
    <row r="40" spans="2:17" ht="18.75" customHeight="1" x14ac:dyDescent="0.3">
      <c r="B40" s="147" t="s">
        <v>198</v>
      </c>
      <c r="E40" s="30"/>
      <c r="H40" s="67"/>
    </row>
    <row r="41" spans="2:17" ht="8.25" customHeight="1" thickBot="1" x14ac:dyDescent="0.35"/>
    <row r="42" spans="2:17" s="50" customFormat="1" ht="32.25" customHeight="1" thickBot="1" x14ac:dyDescent="0.35">
      <c r="B42" s="139" t="s">
        <v>0</v>
      </c>
      <c r="C42" s="140" t="str">
        <f t="shared" ref="C42:E42" si="22">C32</f>
        <v>9 Months 2019</v>
      </c>
      <c r="D42" s="140" t="str">
        <f t="shared" si="22"/>
        <v>9 Months 2020</v>
      </c>
      <c r="E42" s="140" t="str">
        <f t="shared" si="22"/>
        <v>9 Months 2021</v>
      </c>
      <c r="F42" s="211" t="str">
        <f>CONCATENATE(Data_Interim!P3," vs. ",Data_Interim!O3)</f>
        <v>2021 vs. 2020</v>
      </c>
      <c r="G42" s="211"/>
      <c r="H42" s="211"/>
      <c r="K42" s="51"/>
    </row>
    <row r="43" spans="2:17" x14ac:dyDescent="0.3">
      <c r="B43" s="20" t="s">
        <v>54</v>
      </c>
      <c r="C43" s="9">
        <f>SUMIF(Data_Interim!$C:$C,$B43,Data_Interim!N:N)</f>
        <v>1147728.2399999998</v>
      </c>
      <c r="D43" s="9">
        <f>SUMIF(Data_Interim!$C:$C,$B43,Data_Interim!O:O)</f>
        <v>803300.26999999979</v>
      </c>
      <c r="E43" s="9">
        <f>SUMIF(Data_Interim!$C:$C,$B43,Data_Interim!P:P)</f>
        <v>1166882.8999999997</v>
      </c>
      <c r="F43" s="9" t="str">
        <f t="shared" ref="F43:F45" si="23">IF(E43+D43&gt;0,IF(E43&gt;D43,"▲",IF(E43=D43,"▬","▼")),IF(E43&gt;D43,"▼",IF(E43=D43,"▬","▲")))</f>
        <v>▲</v>
      </c>
      <c r="G43" s="23">
        <f t="shared" ref="G43:G45" si="24">E43-D43</f>
        <v>363582.62999999989</v>
      </c>
      <c r="H43" s="14">
        <f t="shared" ref="H43:H45" si="25">E43/D43-1</f>
        <v>0.45261111389891595</v>
      </c>
    </row>
    <row r="44" spans="2:17" ht="15" thickBot="1" x14ac:dyDescent="0.35">
      <c r="B44" s="20" t="s">
        <v>103</v>
      </c>
      <c r="C44" s="9">
        <f>SUMIF(Data_Interim!$C:$C,$B44,Data_Interim!N:N)</f>
        <v>2973964.1</v>
      </c>
      <c r="D44" s="9">
        <f>SUMIF(Data_Interim!$C:$C,$B44,Data_Interim!O:O)</f>
        <v>2844986.33</v>
      </c>
      <c r="E44" s="9">
        <f>SUMIF(Data_Interim!$C:$C,$B44,Data_Interim!P:P)</f>
        <v>2809268.6</v>
      </c>
      <c r="F44" s="9" t="str">
        <f t="shared" si="23"/>
        <v>▼</v>
      </c>
      <c r="G44" s="23">
        <f t="shared" si="24"/>
        <v>-35717.729999999981</v>
      </c>
      <c r="H44" s="14">
        <f t="shared" si="25"/>
        <v>-1.2554622714127439E-2</v>
      </c>
    </row>
    <row r="45" spans="2:17" ht="15" thickBot="1" x14ac:dyDescent="0.35">
      <c r="B45" s="12"/>
      <c r="C45" s="16">
        <f>SUM(C43:C44)</f>
        <v>4121692.34</v>
      </c>
      <c r="D45" s="16">
        <f>SUM(D43:D44)</f>
        <v>3648286.5999999996</v>
      </c>
      <c r="E45" s="16">
        <f>SUM(E43:E44)</f>
        <v>3976151.5</v>
      </c>
      <c r="F45" s="48" t="str">
        <f t="shared" si="23"/>
        <v>▲</v>
      </c>
      <c r="G45" s="24">
        <f t="shared" si="24"/>
        <v>327864.90000000037</v>
      </c>
      <c r="H45" s="17">
        <f t="shared" si="25"/>
        <v>8.9868186342597189E-2</v>
      </c>
    </row>
    <row r="46" spans="2:17" x14ac:dyDescent="0.3">
      <c r="C46" s="75">
        <f>C45-C5</f>
        <v>0</v>
      </c>
      <c r="D46" s="75">
        <f>D45-D5</f>
        <v>0</v>
      </c>
      <c r="E46" s="75">
        <f>E45-E5</f>
        <v>0</v>
      </c>
    </row>
    <row r="47" spans="2:17" x14ac:dyDescent="0.3">
      <c r="B47" s="147" t="s">
        <v>72</v>
      </c>
      <c r="J47" s="208" t="s">
        <v>159</v>
      </c>
      <c r="K47" s="208"/>
      <c r="L47" s="208"/>
    </row>
    <row r="48" spans="2:17" ht="15" thickBot="1" x14ac:dyDescent="0.35"/>
    <row r="49" spans="2:12" ht="30.6" thickBot="1" x14ac:dyDescent="0.35">
      <c r="B49" s="139" t="s">
        <v>0</v>
      </c>
      <c r="C49" s="140" t="str">
        <f>C3</f>
        <v>9 Months 2019</v>
      </c>
      <c r="D49" s="140" t="str">
        <f>D3</f>
        <v>9 Months 2020</v>
      </c>
      <c r="E49" s="140" t="str">
        <f>E3</f>
        <v>9 Months 2021</v>
      </c>
      <c r="F49" s="211" t="str">
        <f>CONCATENATE(Data_Interim!P3," vs. ",Data_Interim!O3)</f>
        <v>2021 vs. 2020</v>
      </c>
      <c r="G49" s="211"/>
      <c r="H49" s="211"/>
      <c r="J49" s="146">
        <f>Data_Interim!N3</f>
        <v>2019</v>
      </c>
      <c r="K49" s="146">
        <f>Data_Interim!O3</f>
        <v>2020</v>
      </c>
      <c r="L49" s="146">
        <f>Data_Interim!P3</f>
        <v>2021</v>
      </c>
    </row>
    <row r="50" spans="2:12" x14ac:dyDescent="0.3">
      <c r="B50" s="20" t="s">
        <v>45</v>
      </c>
      <c r="C50" s="9">
        <f>SUMIF(Data_Interim!$C:$C,$B50,Data_Interim!N:N)</f>
        <v>187560270.35068965</v>
      </c>
      <c r="D50" s="9">
        <f>SUMIF(Data_Interim!$C:$C,$B50,Data_Interim!O:O)</f>
        <v>193429377.01944542</v>
      </c>
      <c r="E50" s="9">
        <f>SUMIF(Data_Interim!$C:$C,$B50,Data_Interim!P:P)</f>
        <v>247006542.93567088</v>
      </c>
      <c r="F50" s="9" t="str">
        <f t="shared" ref="F50" si="26">IF(E50+D50&gt;0,IF(E50&gt;D50,"▲",IF(E50=D50,"▬","▼")),IF(E50&gt;D50,"▼",IF(E50=D50,"▬","▲")))</f>
        <v>▲</v>
      </c>
      <c r="G50" s="23">
        <f t="shared" ref="G50" si="27">E50-D50</f>
        <v>53577165.916225463</v>
      </c>
      <c r="H50" s="14">
        <f t="shared" ref="H50" si="28">E50/D50-1</f>
        <v>0.27698567167922672</v>
      </c>
      <c r="J50" s="92">
        <f t="shared" ref="J50:L51" si="29">C50/C$52</f>
        <v>0.9939179671843722</v>
      </c>
      <c r="K50" s="92">
        <f t="shared" si="29"/>
        <v>0.99586423725806483</v>
      </c>
      <c r="L50" s="92">
        <f t="shared" si="29"/>
        <v>0.99529811503358678</v>
      </c>
    </row>
    <row r="51" spans="2:12" ht="15" thickBot="1" x14ac:dyDescent="0.35">
      <c r="B51" s="20" t="s">
        <v>54</v>
      </c>
      <c r="C51" s="9">
        <f>SUMIF(Data_Interim!$C:$C,$B51,Data_Interim!N:N)</f>
        <v>1147728.2399999998</v>
      </c>
      <c r="D51" s="9">
        <f>SUMIF(Data_Interim!$C:$C,$B51,Data_Interim!O:O)</f>
        <v>803300.26999999979</v>
      </c>
      <c r="E51" s="9">
        <f>SUMIF(Data_Interim!$C:$C,$B51,Data_Interim!P:P)</f>
        <v>1166882.8999999997</v>
      </c>
      <c r="F51" s="9" t="str">
        <f t="shared" ref="F51:F52" si="30">IF(E51+D51&gt;0,IF(E51&gt;D51,"▲",IF(E51=D51,"▬","▼")),IF(E51&gt;D51,"▼",IF(E51=D51,"▬","▲")))</f>
        <v>▲</v>
      </c>
      <c r="G51" s="23">
        <f t="shared" ref="G51:G52" si="31">E51-D51</f>
        <v>363582.62999999989</v>
      </c>
      <c r="H51" s="14">
        <f t="shared" ref="H51:H52" si="32">E51/D51-1</f>
        <v>0.45261111389891595</v>
      </c>
      <c r="J51" s="93">
        <f t="shared" si="29"/>
        <v>6.0820328156276976E-3</v>
      </c>
      <c r="K51" s="93">
        <f t="shared" si="29"/>
        <v>4.1357627419351386E-3</v>
      </c>
      <c r="L51" s="93">
        <f t="shared" si="29"/>
        <v>4.7018849664131898E-3</v>
      </c>
    </row>
    <row r="52" spans="2:12" ht="15" thickBot="1" x14ac:dyDescent="0.35">
      <c r="B52" s="12" t="s">
        <v>149</v>
      </c>
      <c r="C52" s="16">
        <f t="shared" ref="C52:E52" si="33">C50+C51</f>
        <v>188707998.59068966</v>
      </c>
      <c r="D52" s="16">
        <f t="shared" si="33"/>
        <v>194232677.28944543</v>
      </c>
      <c r="E52" s="16">
        <f t="shared" si="33"/>
        <v>248173425.83567089</v>
      </c>
      <c r="F52" s="48" t="str">
        <f t="shared" si="30"/>
        <v>▲</v>
      </c>
      <c r="G52" s="24">
        <f t="shared" si="31"/>
        <v>53940748.546225458</v>
      </c>
      <c r="H52" s="17">
        <f t="shared" si="32"/>
        <v>0.27771201683969471</v>
      </c>
      <c r="J52" s="90">
        <f t="shared" ref="J52:L52" si="34">J50+J51</f>
        <v>0.99999999999999989</v>
      </c>
      <c r="K52" s="90">
        <f t="shared" si="34"/>
        <v>1</v>
      </c>
      <c r="L52" s="90">
        <f t="shared" si="34"/>
        <v>1</v>
      </c>
    </row>
    <row r="53" spans="2:12" x14ac:dyDescent="0.3">
      <c r="C53" s="31"/>
      <c r="D53" s="31"/>
      <c r="E53" s="31"/>
      <c r="J53" s="93"/>
      <c r="K53" s="93"/>
    </row>
    <row r="54" spans="2:12" x14ac:dyDescent="0.3">
      <c r="B54" s="25" t="s">
        <v>59</v>
      </c>
    </row>
    <row r="56" spans="2:12" x14ac:dyDescent="0.3">
      <c r="C56" s="31"/>
      <c r="D56" s="31"/>
      <c r="E56" s="31"/>
    </row>
    <row r="57" spans="2:12" x14ac:dyDescent="0.3">
      <c r="C57" s="31"/>
      <c r="D57" s="31"/>
      <c r="E57" s="31"/>
    </row>
  </sheetData>
  <mergeCells count="5">
    <mergeCell ref="F3:H3"/>
    <mergeCell ref="F42:H42"/>
    <mergeCell ref="F32:H32"/>
    <mergeCell ref="F49:H49"/>
    <mergeCell ref="J47:L47"/>
  </mergeCells>
  <conditionalFormatting sqref="F4:F11 F33:F37 F13:F15 F43:F44 F17 F26:F27">
    <cfRule type="expression" dxfId="54" priority="84">
      <formula>E4=D4</formula>
    </cfRule>
    <cfRule type="expression" dxfId="53" priority="85">
      <formula>E4&lt;D4</formula>
    </cfRule>
    <cfRule type="expression" dxfId="52" priority="86">
      <formula>E4&gt;D4</formula>
    </cfRule>
  </conditionalFormatting>
  <conditionalFormatting sqref="F38">
    <cfRule type="expression" dxfId="51" priority="78">
      <formula>E38=D38</formula>
    </cfRule>
    <cfRule type="expression" dxfId="50" priority="79">
      <formula>E38&lt;D38</formula>
    </cfRule>
    <cfRule type="expression" dxfId="49" priority="80">
      <formula>E38&gt;D38</formula>
    </cfRule>
  </conditionalFormatting>
  <conditionalFormatting sqref="F45">
    <cfRule type="expression" dxfId="48" priority="72">
      <formula>E45=D45</formula>
    </cfRule>
    <cfRule type="expression" dxfId="47" priority="73">
      <formula>E45&lt;D45</formula>
    </cfRule>
    <cfRule type="expression" dxfId="46" priority="74">
      <formula>E45&gt;D45</formula>
    </cfRule>
  </conditionalFormatting>
  <conditionalFormatting sqref="F50">
    <cfRule type="expression" dxfId="45" priority="69">
      <formula>E50=D50</formula>
    </cfRule>
    <cfRule type="expression" dxfId="44" priority="70">
      <formula>E50&lt;D50</formula>
    </cfRule>
    <cfRule type="expression" dxfId="43" priority="71">
      <formula>E50&gt;D50</formula>
    </cfRule>
  </conditionalFormatting>
  <conditionalFormatting sqref="F51">
    <cfRule type="expression" dxfId="42" priority="66">
      <formula>E51=D51</formula>
    </cfRule>
    <cfRule type="expression" dxfId="41" priority="67">
      <formula>E51&lt;D51</formula>
    </cfRule>
    <cfRule type="expression" dxfId="40" priority="68">
      <formula>E51&gt;D51</formula>
    </cfRule>
  </conditionalFormatting>
  <conditionalFormatting sqref="F52">
    <cfRule type="expression" dxfId="39" priority="60">
      <formula>E52=D52</formula>
    </cfRule>
    <cfRule type="expression" dxfId="38" priority="61">
      <formula>E52&lt;D52</formula>
    </cfRule>
    <cfRule type="expression" dxfId="37" priority="62">
      <formula>E52&gt;D52</formula>
    </cfRule>
  </conditionalFormatting>
  <conditionalFormatting sqref="H4:H11 H13:H15 H17">
    <cfRule type="containsErrors" dxfId="36" priority="53">
      <formula>ISERROR(H4)</formula>
    </cfRule>
  </conditionalFormatting>
  <conditionalFormatting sqref="H43:H44">
    <cfRule type="containsErrors" dxfId="35" priority="52">
      <formula>ISERROR(H43)</formula>
    </cfRule>
  </conditionalFormatting>
  <conditionalFormatting sqref="H3">
    <cfRule type="containsErrors" dxfId="34" priority="47">
      <formula>ISERROR(H3)</formula>
    </cfRule>
  </conditionalFormatting>
  <conditionalFormatting sqref="F12">
    <cfRule type="expression" dxfId="33" priority="44">
      <formula>E12=D12</formula>
    </cfRule>
    <cfRule type="expression" dxfId="32" priority="45">
      <formula>E12&lt;D12</formula>
    </cfRule>
    <cfRule type="expression" dxfId="31" priority="46">
      <formula>E12&gt;D12</formula>
    </cfRule>
  </conditionalFormatting>
  <conditionalFormatting sqref="H12">
    <cfRule type="containsErrors" dxfId="30" priority="43">
      <formula>ISERROR(H12)</formula>
    </cfRule>
  </conditionalFormatting>
  <conditionalFormatting sqref="F16">
    <cfRule type="expression" dxfId="29" priority="40">
      <formula>E16=D16</formula>
    </cfRule>
    <cfRule type="expression" dxfId="28" priority="41">
      <formula>E16&lt;D16</formula>
    </cfRule>
    <cfRule type="expression" dxfId="27" priority="42">
      <formula>E16&gt;D16</formula>
    </cfRule>
  </conditionalFormatting>
  <conditionalFormatting sqref="H16">
    <cfRule type="containsErrors" dxfId="26" priority="39">
      <formula>ISERROR(H16)</formula>
    </cfRule>
  </conditionalFormatting>
  <conditionalFormatting sqref="F18">
    <cfRule type="expression" dxfId="25" priority="36">
      <formula>E18=D18</formula>
    </cfRule>
    <cfRule type="expression" dxfId="24" priority="37">
      <formula>E18&lt;D18</formula>
    </cfRule>
    <cfRule type="expression" dxfId="23" priority="38">
      <formula>E18&gt;D18</formula>
    </cfRule>
  </conditionalFormatting>
  <conditionalFormatting sqref="H18">
    <cfRule type="containsErrors" dxfId="22" priority="35">
      <formula>ISERROR(H18)</formula>
    </cfRule>
  </conditionalFormatting>
  <conditionalFormatting sqref="H32">
    <cfRule type="containsErrors" dxfId="21" priority="30">
      <formula>ISERROR(H32)</formula>
    </cfRule>
  </conditionalFormatting>
  <conditionalFormatting sqref="H42">
    <cfRule type="containsErrors" dxfId="20" priority="29">
      <formula>ISERROR(H42)</formula>
    </cfRule>
  </conditionalFormatting>
  <conditionalFormatting sqref="H49">
    <cfRule type="containsErrors" dxfId="19" priority="28">
      <formula>ISERROR(H49)</formula>
    </cfRule>
  </conditionalFormatting>
  <conditionalFormatting sqref="F28">
    <cfRule type="expression" dxfId="18" priority="25">
      <formula>E28=D28</formula>
    </cfRule>
    <cfRule type="expression" dxfId="17" priority="26">
      <formula>E28&lt;D28</formula>
    </cfRule>
    <cfRule type="expression" dxfId="16" priority="27">
      <formula>E28&gt;D28</formula>
    </cfRule>
  </conditionalFormatting>
  <conditionalFormatting sqref="F19:F20">
    <cfRule type="expression" dxfId="15" priority="14">
      <formula>E19=D19</formula>
    </cfRule>
    <cfRule type="expression" dxfId="14" priority="15">
      <formula>E19&lt;D19</formula>
    </cfRule>
    <cfRule type="expression" dxfId="13" priority="16">
      <formula>E19&gt;D19</formula>
    </cfRule>
  </conditionalFormatting>
  <conditionalFormatting sqref="H19:H20">
    <cfRule type="containsErrors" dxfId="12" priority="13">
      <formula>ISERROR(H19)</formula>
    </cfRule>
  </conditionalFormatting>
  <conditionalFormatting sqref="F22:F24">
    <cfRule type="expression" dxfId="11" priority="10">
      <formula>E22=D22</formula>
    </cfRule>
    <cfRule type="expression" dxfId="10" priority="11">
      <formula>E22&lt;D22</formula>
    </cfRule>
    <cfRule type="expression" dxfId="9" priority="12">
      <formula>E22&gt;D22</formula>
    </cfRule>
  </conditionalFormatting>
  <conditionalFormatting sqref="H22:H24">
    <cfRule type="containsErrors" dxfId="8" priority="9">
      <formula>ISERROR(H22)</formula>
    </cfRule>
  </conditionalFormatting>
  <conditionalFormatting sqref="F21">
    <cfRule type="expression" dxfId="7" priority="6">
      <formula>E21=D21</formula>
    </cfRule>
    <cfRule type="expression" dxfId="6" priority="7">
      <formula>E21&lt;D21</formula>
    </cfRule>
    <cfRule type="expression" dxfId="5" priority="8">
      <formula>E21&gt;D21</formula>
    </cfRule>
  </conditionalFormatting>
  <conditionalFormatting sqref="H21">
    <cfRule type="containsErrors" dxfId="4" priority="5">
      <formula>ISERROR(H21)</formula>
    </cfRule>
  </conditionalFormatting>
  <conditionalFormatting sqref="F25">
    <cfRule type="expression" dxfId="3" priority="2">
      <formula>E25=D25</formula>
    </cfRule>
    <cfRule type="expression" dxfId="2" priority="3">
      <formula>E25&lt;D25</formula>
    </cfRule>
    <cfRule type="expression" dxfId="1" priority="4">
      <formula>E25&gt;D25</formula>
    </cfRule>
  </conditionalFormatting>
  <conditionalFormatting sqref="H25">
    <cfRule type="containsErrors" dxfId="0" priority="1">
      <formula>ISERROR(H25)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9"/>
  <sheetViews>
    <sheetView showGridLines="0" zoomScaleNormal="100" workbookViewId="0">
      <pane xSplit="2" ySplit="3" topLeftCell="C4" activePane="bottomRight" state="frozen"/>
      <selection pane="topRight" activeCell="E1" sqref="E1"/>
      <selection pane="bottomLeft" activeCell="A4" sqref="A4"/>
      <selection pane="bottomRight" activeCell="G17" sqref="G17"/>
    </sheetView>
  </sheetViews>
  <sheetFormatPr defaultColWidth="9.109375" defaultRowHeight="14.4" x14ac:dyDescent="0.3"/>
  <cols>
    <col min="1" max="1" width="33.5546875" style="1" customWidth="1"/>
    <col min="2" max="2" width="41.33203125" style="1" customWidth="1"/>
    <col min="3" max="3" width="12.109375" style="1" bestFit="1" customWidth="1"/>
    <col min="4" max="4" width="11.77734375" style="1" bestFit="1" customWidth="1"/>
    <col min="5" max="5" width="12.109375" style="1" bestFit="1" customWidth="1"/>
    <col min="6" max="6" width="9.109375" style="1"/>
    <col min="7" max="8" width="10.88671875" style="1" bestFit="1" customWidth="1"/>
    <col min="9" max="10" width="14.77734375" style="1" bestFit="1" customWidth="1"/>
    <col min="11" max="11" width="15.21875" style="1" bestFit="1" customWidth="1"/>
    <col min="12" max="16384" width="9.109375" style="1"/>
  </cols>
  <sheetData>
    <row r="1" spans="1:11" x14ac:dyDescent="0.3">
      <c r="B1" s="188" t="s">
        <v>265</v>
      </c>
    </row>
    <row r="2" spans="1:11" ht="15" thickBot="1" x14ac:dyDescent="0.35"/>
    <row r="3" spans="1:11" ht="18.75" customHeight="1" thickBot="1" x14ac:dyDescent="0.35">
      <c r="A3" s="128" t="s">
        <v>0</v>
      </c>
      <c r="B3" s="128" t="s">
        <v>65</v>
      </c>
      <c r="C3" s="129">
        <f>Data_Interim!N3</f>
        <v>2019</v>
      </c>
      <c r="D3" s="129">
        <f>Data_Interim!O3</f>
        <v>2020</v>
      </c>
      <c r="E3" s="129">
        <f>Data_Interim!P3</f>
        <v>2021</v>
      </c>
    </row>
    <row r="4" spans="1:11" x14ac:dyDescent="0.3">
      <c r="A4" s="54" t="s">
        <v>66</v>
      </c>
      <c r="B4" s="132" t="s">
        <v>85</v>
      </c>
      <c r="C4" s="13">
        <f>'EBIT-EBITDA'!C7</f>
        <v>2475116.5723680416</v>
      </c>
      <c r="D4" s="13">
        <f>'EBIT-EBITDA'!D7</f>
        <v>4337269.0135695478</v>
      </c>
      <c r="E4" s="133">
        <f>'EBIT-EBITDA'!E7</f>
        <v>7647893.1035772152</v>
      </c>
      <c r="I4" s="84"/>
      <c r="J4" s="84"/>
      <c r="K4" s="84"/>
    </row>
    <row r="5" spans="1:11" x14ac:dyDescent="0.3">
      <c r="A5" s="54" t="s">
        <v>64</v>
      </c>
      <c r="B5" s="132" t="s">
        <v>85</v>
      </c>
      <c r="C5" s="13">
        <f>'EBIT-EBITDA'!C10</f>
        <v>11729622.01236804</v>
      </c>
      <c r="D5" s="13">
        <f>'EBIT-EBITDA'!D10</f>
        <v>13002354.583569547</v>
      </c>
      <c r="E5" s="133">
        <f>'EBIT-EBITDA'!E10</f>
        <v>16019992.153577214</v>
      </c>
      <c r="I5" s="84"/>
      <c r="J5" s="84"/>
      <c r="K5" s="84"/>
    </row>
    <row r="6" spans="1:11" x14ac:dyDescent="0.3">
      <c r="A6" s="54" t="s">
        <v>72</v>
      </c>
      <c r="B6" s="13" t="s">
        <v>106</v>
      </c>
      <c r="C6" s="13">
        <f>'3.Profit or loss statement'!C52</f>
        <v>188707998.59068966</v>
      </c>
      <c r="D6" s="13">
        <f>'3.Profit or loss statement'!D52</f>
        <v>194232677.28944543</v>
      </c>
      <c r="E6" s="133">
        <f>'3.Profit or loss statement'!E52</f>
        <v>248173425.83567089</v>
      </c>
      <c r="I6" s="84"/>
      <c r="J6" s="84"/>
      <c r="K6" s="84"/>
    </row>
    <row r="7" spans="1:11" x14ac:dyDescent="0.3">
      <c r="A7" s="54" t="s">
        <v>73</v>
      </c>
      <c r="B7" s="13" t="s">
        <v>86</v>
      </c>
      <c r="C7" s="33">
        <f t="shared" ref="C7" si="0">C5/C6</f>
        <v>6.2157524323119752E-2</v>
      </c>
      <c r="D7" s="33">
        <f t="shared" ref="D7:E7" si="1">D5/D6</f>
        <v>6.6942158060218901E-2</v>
      </c>
      <c r="E7" s="134">
        <f t="shared" si="1"/>
        <v>6.455160176652E-2</v>
      </c>
      <c r="I7" s="86"/>
      <c r="J7" s="86"/>
      <c r="K7" s="86"/>
    </row>
    <row r="8" spans="1:11" x14ac:dyDescent="0.3">
      <c r="A8" s="54" t="s">
        <v>74</v>
      </c>
      <c r="B8" s="54" t="s">
        <v>87</v>
      </c>
      <c r="C8" s="33">
        <f>C5/'1.FinancialPosition'!C26</f>
        <v>8.2767780437579139E-2</v>
      </c>
      <c r="D8" s="33">
        <f>D5/'1.FinancialPosition'!D26</f>
        <v>9.1554836210912455E-2</v>
      </c>
      <c r="E8" s="134">
        <f>E5/'1.FinancialPosition'!E26</f>
        <v>0.11219682510313164</v>
      </c>
      <c r="I8" s="86"/>
      <c r="J8" s="86"/>
      <c r="K8" s="86"/>
    </row>
    <row r="9" spans="1:11" x14ac:dyDescent="0.3">
      <c r="A9" s="54" t="s">
        <v>75</v>
      </c>
      <c r="B9" s="54" t="s">
        <v>88</v>
      </c>
      <c r="C9" s="33">
        <f>'3.Profit or loss statement'!C16/C6</f>
        <v>4.5995079109003119E-3</v>
      </c>
      <c r="D9" s="33">
        <f>'3.Profit or loss statement'!D16/D6</f>
        <v>1.5389457867149405E-2</v>
      </c>
      <c r="E9" s="134">
        <f>'3.Profit or loss statement'!E16/E6</f>
        <v>2.5912306492619244E-2</v>
      </c>
      <c r="I9" s="86"/>
      <c r="J9" s="86"/>
      <c r="K9" s="86"/>
    </row>
    <row r="10" spans="1:11" x14ac:dyDescent="0.3">
      <c r="A10" s="54" t="s">
        <v>76</v>
      </c>
      <c r="B10" s="54" t="s">
        <v>89</v>
      </c>
      <c r="C10" s="34">
        <f>'1.FinancialPosition'!C18/'1.FinancialPosition'!C35</f>
        <v>0.94196917979136607</v>
      </c>
      <c r="D10" s="34">
        <f>'1.FinancialPosition'!D18/'1.FinancialPosition'!D35</f>
        <v>0.99915295583894481</v>
      </c>
      <c r="E10" s="135">
        <f>'1.FinancialPosition'!E18/'1.FinancialPosition'!E35</f>
        <v>1.0503562670312456</v>
      </c>
      <c r="I10" s="84"/>
      <c r="J10" s="84"/>
      <c r="K10" s="84"/>
    </row>
    <row r="11" spans="1:11" x14ac:dyDescent="0.3">
      <c r="A11" s="54" t="s">
        <v>77</v>
      </c>
      <c r="B11" s="54" t="s">
        <v>90</v>
      </c>
      <c r="C11" s="34">
        <f>('1.FinancialPosition'!C18-'1.FinancialPosition'!C12)/'1.FinancialPosition'!C35</f>
        <v>0.56346188646444451</v>
      </c>
      <c r="D11" s="34">
        <f>('1.FinancialPosition'!D18-'1.FinancialPosition'!D12)/'1.FinancialPosition'!D35</f>
        <v>0.60263684430075559</v>
      </c>
      <c r="E11" s="135">
        <f>('1.FinancialPosition'!E18-'1.FinancialPosition'!E12)/'1.FinancialPosition'!E35</f>
        <v>0.59122021168844197</v>
      </c>
      <c r="I11" s="84"/>
      <c r="J11" s="84"/>
      <c r="K11" s="84"/>
    </row>
    <row r="12" spans="1:11" x14ac:dyDescent="0.3">
      <c r="A12" s="54" t="s">
        <v>83</v>
      </c>
      <c r="B12" s="54" t="s">
        <v>91</v>
      </c>
      <c r="C12" s="35">
        <f>'1.FinancialPosition'!C31/'1.FinancialPosition'!C26</f>
        <v>0.44126210069072341</v>
      </c>
      <c r="D12" s="35">
        <f>'1.FinancialPosition'!D31/'1.FinancialPosition'!D26</f>
        <v>0.3171778176704142</v>
      </c>
      <c r="E12" s="136">
        <f>'1.FinancialPosition'!E31/'1.FinancialPosition'!E26</f>
        <v>0.26081372090076971</v>
      </c>
      <c r="I12" s="85"/>
      <c r="J12" s="85"/>
      <c r="K12" s="85"/>
    </row>
    <row r="13" spans="1:11" x14ac:dyDescent="0.3">
      <c r="A13" s="54" t="s">
        <v>84</v>
      </c>
      <c r="B13" s="54" t="s">
        <v>92</v>
      </c>
      <c r="C13" s="35">
        <f>'1.FinancialPosition'!C36/'1.FinancialPosition'!C37</f>
        <v>0.53824521694327121</v>
      </c>
      <c r="D13" s="35">
        <f>'1.FinancialPosition'!D36/'1.FinancialPosition'!D37</f>
        <v>0.51058203583080286</v>
      </c>
      <c r="E13" s="136">
        <f>'1.FinancialPosition'!E36/'1.FinancialPosition'!E37</f>
        <v>0.52475071486089331</v>
      </c>
      <c r="I13" s="85"/>
      <c r="J13" s="85"/>
      <c r="K13" s="85"/>
    </row>
    <row r="14" spans="1:11" x14ac:dyDescent="0.3">
      <c r="A14" s="54" t="s">
        <v>118</v>
      </c>
      <c r="B14" s="54" t="s">
        <v>93</v>
      </c>
      <c r="C14" s="36">
        <f>'EBIT-EBITDA'!C7/'EBIT-EBITDA'!C6</f>
        <v>1.5400631593823233</v>
      </c>
      <c r="D14" s="36">
        <f>'EBIT-EBITDA'!D7/'EBIT-EBITDA'!D6</f>
        <v>3.2172402088674201</v>
      </c>
      <c r="E14" s="137">
        <f>'EBIT-EBITDA'!E7/'EBIT-EBITDA'!E6</f>
        <v>6.2834576746949633</v>
      </c>
      <c r="I14" s="84"/>
      <c r="J14" s="84"/>
      <c r="K14" s="84"/>
    </row>
    <row r="15" spans="1:11" x14ac:dyDescent="0.3">
      <c r="A15" s="54" t="s">
        <v>78</v>
      </c>
      <c r="B15" s="54" t="s">
        <v>94</v>
      </c>
      <c r="C15" s="36">
        <f>(SUMIFS(Data_Annual_BS!$D:$D,Data_Annual_BS!$A:$A,C$3-1,Data_Annual_BS!$C:$C,"Trade and other current receivables")+'1.FinancialPosition'!C13)/2/C6*C20</f>
        <v>33.82954865902277</v>
      </c>
      <c r="D15" s="36">
        <f>(SUMIFS(Data_Annual_BS!$D:$D,Data_Annual_BS!$A:$A,D$3-1,Data_Annual_BS!$C:$C,"Trade and other current receivables")+'1.FinancialPosition'!D13)/2/D6*D20</f>
        <v>34.627302321101297</v>
      </c>
      <c r="E15" s="137">
        <f>(SUMIFS(Data_Annual_BS!$D:$D,Data_Annual_BS!$A:$A,E$3-1,Data_Annual_BS!$C:$C,"Trade and other current receivables")+'1.FinancialPosition'!E13)/2/E6*E20</f>
        <v>33.822209162511406</v>
      </c>
      <c r="I15" s="84"/>
      <c r="J15" s="84"/>
      <c r="K15" s="84"/>
    </row>
    <row r="16" spans="1:11" x14ac:dyDescent="0.3">
      <c r="A16" s="54" t="s">
        <v>79</v>
      </c>
      <c r="B16" s="54" t="s">
        <v>95</v>
      </c>
      <c r="C16" s="36">
        <f>(SUMIFS(Data_Annual_BS!$D:$D,Data_Annual_BS!$A:$A,C$3-1,Data_Annual_BS!$C:$C,"Trade and other payables")+'1.FinancialPosition'!C32)/2/C6*C20</f>
        <v>17.280486220481613</v>
      </c>
      <c r="D16" s="36">
        <f>(SUMIFS(Data_Annual_BS!$D:$D,Data_Annual_BS!$A:$A,D$3-1,Data_Annual_BS!$C:$C,"Trade and other payables")+'1.FinancialPosition'!D32)/2/D6*D20</f>
        <v>17.358217961742959</v>
      </c>
      <c r="E16" s="137">
        <f>(SUMIFS(Data_Annual_BS!$D:$D,Data_Annual_BS!$A:$A,E$3-1,Data_Annual_BS!$C:$C,"Trade and other payables")+'1.FinancialPosition'!E32)/2/E6*E20</f>
        <v>20.013516782117275</v>
      </c>
      <c r="I16" s="84"/>
      <c r="J16" s="84"/>
      <c r="K16" s="84"/>
    </row>
    <row r="17" spans="1:11" x14ac:dyDescent="0.3">
      <c r="A17" s="54" t="s">
        <v>80</v>
      </c>
      <c r="B17" s="54" t="s">
        <v>96</v>
      </c>
      <c r="C17" s="33">
        <f>'3.Profit or loss statement'!C18/'1.FinancialPosition'!C19</f>
        <v>1.8411247214243684E-3</v>
      </c>
      <c r="D17" s="33">
        <f>'3.Profit or loss statement'!D18/'1.FinancialPosition'!D19</f>
        <v>8.723662786991309E-3</v>
      </c>
      <c r="E17" s="134">
        <f>'3.Profit or loss statement'!E18/'1.FinancialPosition'!E19</f>
        <v>1.8892789593031506E-2</v>
      </c>
      <c r="I17" s="87"/>
      <c r="J17" s="87"/>
      <c r="K17" s="87"/>
    </row>
    <row r="18" spans="1:11" x14ac:dyDescent="0.3">
      <c r="A18" s="54" t="s">
        <v>81</v>
      </c>
      <c r="B18" s="54" t="s">
        <v>97</v>
      </c>
      <c r="C18" s="33">
        <f>'3.Profit or loss statement'!C18/'1.FinancialPosition'!C26</f>
        <v>3.9872347435405114E-3</v>
      </c>
      <c r="D18" s="33">
        <f>'3.Profit or loss statement'!D18/'1.FinancialPosition'!D26</f>
        <v>1.7824565948464984E-2</v>
      </c>
      <c r="E18" s="134">
        <f>'3.Profit or loss statement'!E18/'1.FinancialPosition'!E26</f>
        <v>3.9753430971512516E-2</v>
      </c>
      <c r="I18" s="87"/>
      <c r="J18" s="87"/>
      <c r="K18" s="87"/>
    </row>
    <row r="19" spans="1:11" x14ac:dyDescent="0.3">
      <c r="A19" s="54" t="s">
        <v>82</v>
      </c>
      <c r="B19" s="54" t="s">
        <v>98</v>
      </c>
      <c r="C19" s="33">
        <f>'3.Profit or loss statement'!C18/C6</f>
        <v>2.9943613232508762E-3</v>
      </c>
      <c r="D19" s="33">
        <f>'3.Profit or loss statement'!D18/D6</f>
        <v>1.3032789533129209E-2</v>
      </c>
      <c r="E19" s="134">
        <f>'3.Profit or loss statement'!E18/E6</f>
        <v>2.2871838330247831E-2</v>
      </c>
      <c r="I19" s="84"/>
      <c r="J19" s="84"/>
      <c r="K19" s="84"/>
    </row>
    <row r="20" spans="1:11" s="25" customFormat="1" x14ac:dyDescent="0.3">
      <c r="B20" s="25" t="s">
        <v>152</v>
      </c>
      <c r="C20" s="82">
        <v>180</v>
      </c>
      <c r="D20" s="82">
        <v>180</v>
      </c>
      <c r="E20" s="138">
        <v>180</v>
      </c>
      <c r="I20" s="88"/>
      <c r="J20" s="88"/>
      <c r="K20" s="88"/>
    </row>
    <row r="21" spans="1:11" x14ac:dyDescent="0.3">
      <c r="I21" s="86"/>
      <c r="J21" s="86"/>
      <c r="K21" s="86"/>
    </row>
    <row r="22" spans="1:11" x14ac:dyDescent="0.3">
      <c r="A22" s="25" t="s">
        <v>59</v>
      </c>
      <c r="I22" s="86"/>
      <c r="J22" s="86"/>
      <c r="K22" s="86"/>
    </row>
    <row r="23" spans="1:11" x14ac:dyDescent="0.3">
      <c r="G23" s="172"/>
      <c r="H23" s="172"/>
      <c r="I23" s="172"/>
      <c r="J23" s="172"/>
      <c r="K23" s="172"/>
    </row>
    <row r="24" spans="1:11" x14ac:dyDescent="0.3">
      <c r="G24" s="172"/>
      <c r="H24" s="172"/>
      <c r="I24" s="172"/>
      <c r="J24" s="172"/>
      <c r="K24" s="172"/>
    </row>
    <row r="25" spans="1:11" x14ac:dyDescent="0.3">
      <c r="G25" s="172"/>
      <c r="H25" s="172"/>
      <c r="I25" s="172"/>
      <c r="J25" s="172"/>
      <c r="K25" s="172"/>
    </row>
    <row r="26" spans="1:11" x14ac:dyDescent="0.3">
      <c r="G26" s="172"/>
      <c r="H26" s="172"/>
      <c r="I26" s="172"/>
      <c r="J26" s="172"/>
      <c r="K26" s="172"/>
    </row>
    <row r="27" spans="1:11" x14ac:dyDescent="0.3">
      <c r="G27" s="172"/>
      <c r="H27" s="172"/>
      <c r="I27" s="172"/>
      <c r="J27" s="172"/>
      <c r="K27" s="172"/>
    </row>
    <row r="28" spans="1:11" x14ac:dyDescent="0.3">
      <c r="G28" s="172"/>
      <c r="H28" s="172"/>
      <c r="I28" s="172"/>
      <c r="J28" s="172"/>
      <c r="K28" s="172"/>
    </row>
    <row r="29" spans="1:11" x14ac:dyDescent="0.3">
      <c r="G29" s="172"/>
      <c r="H29" s="172"/>
      <c r="I29" s="172"/>
      <c r="J29" s="172"/>
      <c r="K29" s="172"/>
    </row>
    <row r="30" spans="1:11" x14ac:dyDescent="0.3">
      <c r="G30" s="172"/>
      <c r="H30" s="172"/>
      <c r="I30" s="172"/>
      <c r="J30" s="172"/>
      <c r="K30" s="172"/>
    </row>
    <row r="31" spans="1:11" x14ac:dyDescent="0.3">
      <c r="G31" s="172"/>
      <c r="H31" s="172"/>
      <c r="I31" s="172"/>
      <c r="J31" s="172"/>
      <c r="K31" s="172"/>
    </row>
    <row r="32" spans="1:11" x14ac:dyDescent="0.3">
      <c r="G32" s="172"/>
      <c r="H32" s="172"/>
      <c r="I32" s="172"/>
      <c r="J32" s="172"/>
      <c r="K32" s="172"/>
    </row>
    <row r="33" spans="7:11" x14ac:dyDescent="0.3">
      <c r="G33" s="172"/>
      <c r="H33" s="172"/>
      <c r="I33" s="172"/>
      <c r="J33" s="172"/>
      <c r="K33" s="172"/>
    </row>
    <row r="34" spans="7:11" x14ac:dyDescent="0.3">
      <c r="G34" s="172"/>
      <c r="H34" s="172"/>
      <c r="I34" s="172"/>
      <c r="J34" s="172"/>
      <c r="K34" s="172"/>
    </row>
    <row r="35" spans="7:11" x14ac:dyDescent="0.3">
      <c r="G35" s="172"/>
      <c r="H35" s="172"/>
      <c r="I35" s="172"/>
      <c r="J35" s="172"/>
      <c r="K35" s="172"/>
    </row>
    <row r="36" spans="7:11" x14ac:dyDescent="0.3">
      <c r="G36" s="172"/>
      <c r="H36" s="172"/>
      <c r="I36" s="172"/>
      <c r="J36" s="172"/>
      <c r="K36" s="172"/>
    </row>
    <row r="37" spans="7:11" x14ac:dyDescent="0.3">
      <c r="G37" s="172"/>
      <c r="H37" s="172"/>
      <c r="I37" s="172"/>
      <c r="J37" s="172"/>
      <c r="K37" s="172"/>
    </row>
    <row r="38" spans="7:11" x14ac:dyDescent="0.3">
      <c r="G38" s="172"/>
      <c r="H38" s="172"/>
      <c r="I38" s="172"/>
      <c r="J38" s="172"/>
      <c r="K38" s="172"/>
    </row>
    <row r="39" spans="7:11" x14ac:dyDescent="0.3">
      <c r="G39" s="172"/>
      <c r="H39" s="172"/>
      <c r="I39" s="172"/>
      <c r="J39" s="172"/>
      <c r="K39" s="172"/>
    </row>
  </sheetData>
  <hyperlinks>
    <hyperlink ref="B4" location="'EBIT-EBITDA'!A1" display="See EBIT-EBITDA" xr:uid="{5A7694FE-C4E2-4A8A-8E6B-E12036C358EE}"/>
    <hyperlink ref="B5" location="'EBIT-EBITDA'!A1" display="See EBIT-EBITDA" xr:uid="{957C128E-6D79-4B0D-B208-C5EDC9CB8865}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9D49E-853A-49F6-AD4D-C89CC2595DE3}">
  <dimension ref="B1:X39"/>
  <sheetViews>
    <sheetView zoomScale="84" zoomScaleNormal="84" workbookViewId="0">
      <selection activeCell="X25" sqref="X25"/>
    </sheetView>
  </sheetViews>
  <sheetFormatPr defaultColWidth="9.109375" defaultRowHeight="14.4" x14ac:dyDescent="0.3"/>
  <cols>
    <col min="1" max="1" width="4.109375" style="123" customWidth="1"/>
    <col min="2" max="7" width="9.109375" style="123"/>
    <col min="8" max="8" width="15.6640625" style="123" customWidth="1"/>
    <col min="9" max="9" width="9.109375" style="123"/>
    <col min="10" max="10" width="1.109375" style="123" customWidth="1"/>
    <col min="11" max="17" width="9.109375" style="123"/>
    <col min="18" max="18" width="3.6640625" style="123" customWidth="1"/>
    <col min="19" max="16384" width="9.109375" style="123"/>
  </cols>
  <sheetData>
    <row r="1" spans="2:21" ht="8.25" customHeight="1" x14ac:dyDescent="0.3"/>
    <row r="2" spans="2:21" x14ac:dyDescent="0.3">
      <c r="B2" s="212" t="s">
        <v>156</v>
      </c>
      <c r="C2" s="212"/>
      <c r="D2" s="212"/>
      <c r="E2" s="212"/>
      <c r="F2" s="127"/>
      <c r="G2" s="213" t="s">
        <v>39</v>
      </c>
      <c r="H2" s="213"/>
      <c r="I2" s="213"/>
      <c r="J2" s="124"/>
      <c r="K2" s="212" t="s">
        <v>158</v>
      </c>
      <c r="L2" s="212"/>
      <c r="M2" s="212"/>
      <c r="N2" s="212"/>
      <c r="O2" s="213" t="s">
        <v>130</v>
      </c>
      <c r="P2" s="213"/>
      <c r="Q2" s="124"/>
      <c r="R2" s="124"/>
      <c r="S2" s="212" t="s">
        <v>155</v>
      </c>
      <c r="T2" s="212"/>
      <c r="U2" s="125">
        <v>2021</v>
      </c>
    </row>
    <row r="3" spans="2:21" x14ac:dyDescent="0.3">
      <c r="B3" s="212" t="s">
        <v>157</v>
      </c>
      <c r="C3" s="212"/>
      <c r="D3" s="212"/>
      <c r="E3" s="212"/>
      <c r="F3" s="127"/>
      <c r="G3" s="213" t="s">
        <v>16</v>
      </c>
      <c r="H3" s="213"/>
      <c r="I3" s="213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</row>
    <row r="4" spans="2:21" ht="5.25" customHeight="1" x14ac:dyDescent="0.3"/>
    <row r="19" spans="2:24" ht="10.8" customHeight="1" x14ac:dyDescent="0.3"/>
    <row r="20" spans="2:24" s="124" customFormat="1" x14ac:dyDescent="0.3">
      <c r="B20" s="212" t="s">
        <v>158</v>
      </c>
      <c r="C20" s="212"/>
      <c r="D20" s="212"/>
      <c r="E20" s="212"/>
      <c r="F20" s="127"/>
      <c r="G20" s="213" t="s">
        <v>109</v>
      </c>
      <c r="H20" s="213"/>
      <c r="I20" s="213"/>
      <c r="P20" s="123"/>
      <c r="Q20" s="123"/>
      <c r="R20" s="123"/>
      <c r="S20" s="123"/>
      <c r="T20" s="123"/>
      <c r="U20" s="123"/>
      <c r="V20" s="123"/>
      <c r="W20" s="123"/>
      <c r="X20" s="123"/>
    </row>
    <row r="21" spans="2:24" ht="16.5" customHeight="1" x14ac:dyDescent="0.3">
      <c r="B21" s="212" t="s">
        <v>155</v>
      </c>
      <c r="C21" s="212"/>
      <c r="D21" s="212"/>
      <c r="E21" s="212"/>
      <c r="F21" s="127"/>
      <c r="G21" s="213">
        <v>2019</v>
      </c>
      <c r="H21" s="213"/>
      <c r="I21" s="213"/>
    </row>
    <row r="22" spans="2:24" ht="4.8" customHeight="1" x14ac:dyDescent="0.3"/>
    <row r="39" spans="2:2" x14ac:dyDescent="0.3">
      <c r="B39" s="123" t="s">
        <v>59</v>
      </c>
    </row>
  </sheetData>
  <mergeCells count="11">
    <mergeCell ref="B21:E21"/>
    <mergeCell ref="G21:I21"/>
    <mergeCell ref="B20:E20"/>
    <mergeCell ref="G20:I20"/>
    <mergeCell ref="S2:T2"/>
    <mergeCell ref="B2:E2"/>
    <mergeCell ref="B3:E3"/>
    <mergeCell ref="K2:N2"/>
    <mergeCell ref="O2:P2"/>
    <mergeCell ref="G2:I2"/>
    <mergeCell ref="G3:I3"/>
  </mergeCells>
  <dataValidations count="4">
    <dataValidation type="list" allowBlank="1" showInputMessage="1" showErrorMessage="1" sqref="G2:G3" xr:uid="{3E6CC772-2AAB-4AD0-A3D6-39532E581268}">
      <formula1>List1</formula1>
    </dataValidation>
    <dataValidation type="list" allowBlank="1" showInputMessage="1" showErrorMessage="1" sqref="O2:P2" xr:uid="{3D62F296-CEC4-4A85-A2D7-B4EEB2B274B5}">
      <formula1>List2</formula1>
    </dataValidation>
    <dataValidation type="list" allowBlank="1" showInputMessage="1" showErrorMessage="1" sqref="G20" xr:uid="{EBC18753-CD2B-4717-AE19-6F1D8CEF1D72}">
      <formula1>List3</formula1>
    </dataValidation>
    <dataValidation type="list" allowBlank="1" showInputMessage="1" showErrorMessage="1" sqref="U2 G21:I21" xr:uid="{B573E89E-1260-4782-85D0-47AE8C3580B4}">
      <formula1>List5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15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A29" sqref="A29"/>
    </sheetView>
  </sheetViews>
  <sheetFormatPr defaultColWidth="9.109375" defaultRowHeight="14.4" x14ac:dyDescent="0.3"/>
  <cols>
    <col min="1" max="2" width="40.109375" style="1" customWidth="1"/>
    <col min="3" max="4" width="11.88671875" style="1" bestFit="1" customWidth="1"/>
    <col min="5" max="5" width="12" style="1" bestFit="1" customWidth="1"/>
    <col min="6" max="16384" width="9.109375" style="1"/>
  </cols>
  <sheetData>
    <row r="2" spans="1:5" ht="15" thickBot="1" x14ac:dyDescent="0.35"/>
    <row r="3" spans="1:5" s="37" customFormat="1" ht="21.75" customHeight="1" thickBot="1" x14ac:dyDescent="0.35">
      <c r="A3" s="128" t="s">
        <v>0</v>
      </c>
      <c r="B3" s="128" t="s">
        <v>0</v>
      </c>
      <c r="C3" s="129">
        <f>Data_Interim!N3</f>
        <v>2019</v>
      </c>
      <c r="D3" s="129">
        <f>Data_Interim!O3</f>
        <v>2020</v>
      </c>
      <c r="E3" s="129">
        <f>Data_Interim!P3</f>
        <v>2021</v>
      </c>
    </row>
    <row r="4" spans="1:5" x14ac:dyDescent="0.3">
      <c r="A4" s="15" t="s">
        <v>67</v>
      </c>
      <c r="B4" s="15" t="s">
        <v>99</v>
      </c>
      <c r="C4" s="15">
        <f>'3.Profit or loss statement'!C18</f>
        <v>565059.93236804195</v>
      </c>
      <c r="D4" s="15">
        <f>'3.Profit or loss statement'!D18</f>
        <v>2531393.6035695476</v>
      </c>
      <c r="E4" s="130">
        <f>'3.Profit or loss statement'!E18</f>
        <v>5676182.4735772144</v>
      </c>
    </row>
    <row r="5" spans="1:5" x14ac:dyDescent="0.3">
      <c r="A5" s="15" t="s">
        <v>68</v>
      </c>
      <c r="B5" s="15" t="s">
        <v>100</v>
      </c>
      <c r="C5" s="15">
        <f>-'3.Profit or loss statement'!C17</f>
        <v>302904</v>
      </c>
      <c r="D5" s="15">
        <f>-'3.Profit or loss statement'!D17</f>
        <v>457742</v>
      </c>
      <c r="E5" s="130">
        <f>-'3.Profit or loss statement'!E17</f>
        <v>754563.4</v>
      </c>
    </row>
    <row r="6" spans="1:5" x14ac:dyDescent="0.3">
      <c r="A6" s="15" t="s">
        <v>69</v>
      </c>
      <c r="B6" s="15" t="s">
        <v>101</v>
      </c>
      <c r="C6" s="15">
        <f>SUMIF(Data_Interim!$C:$C,$B6,Data_Interim!N:N)</f>
        <v>1607152.6399999999</v>
      </c>
      <c r="D6" s="15">
        <f>SUMIF(Data_Interim!$C:$C,$B6,Data_Interim!O:O)</f>
        <v>1348133.4100000001</v>
      </c>
      <c r="E6" s="130">
        <f>SUMIF(Data_Interim!$C:$C,$B6,Data_Interim!P:P)</f>
        <v>1217147.23</v>
      </c>
    </row>
    <row r="7" spans="1:5" x14ac:dyDescent="0.3">
      <c r="A7" s="32" t="s">
        <v>66</v>
      </c>
      <c r="B7" s="32" t="s">
        <v>66</v>
      </c>
      <c r="C7" s="32">
        <f>C4+C5+C6</f>
        <v>2475116.5723680416</v>
      </c>
      <c r="D7" s="32">
        <f>D4+D5+D6</f>
        <v>4337269.0135695478</v>
      </c>
      <c r="E7" s="131">
        <f>E4+E5+E6</f>
        <v>7647893.1035772152</v>
      </c>
    </row>
    <row r="8" spans="1:5" x14ac:dyDescent="0.3">
      <c r="A8" s="15" t="s">
        <v>70</v>
      </c>
      <c r="B8" s="15" t="s">
        <v>102</v>
      </c>
      <c r="C8" s="15">
        <f>SUMIF(Data_Interim!$C:$C,$B8,Data_Interim!N:N)</f>
        <v>12228469.539999999</v>
      </c>
      <c r="D8" s="15">
        <f>SUMIF(Data_Interim!$C:$C,$B8,Data_Interim!O:O)</f>
        <v>11510071.9</v>
      </c>
      <c r="E8" s="130">
        <f>SUMIF(Data_Interim!$C:$C,$B8,Data_Interim!P:P)</f>
        <v>11181367.649999999</v>
      </c>
    </row>
    <row r="9" spans="1:5" x14ac:dyDescent="0.3">
      <c r="A9" s="15" t="s">
        <v>71</v>
      </c>
      <c r="B9" s="15" t="s">
        <v>103</v>
      </c>
      <c r="C9" s="15">
        <f>SUMIF(Data_Interim!$C:$C,$B9,Data_Interim!N:N)</f>
        <v>2973964.1</v>
      </c>
      <c r="D9" s="15">
        <f>SUMIF(Data_Interim!$C:$C,$B9,Data_Interim!O:O)</f>
        <v>2844986.33</v>
      </c>
      <c r="E9" s="130">
        <f>SUMIF(Data_Interim!$C:$C,$B9,Data_Interim!P:P)</f>
        <v>2809268.6</v>
      </c>
    </row>
    <row r="10" spans="1:5" x14ac:dyDescent="0.3">
      <c r="A10" s="32" t="s">
        <v>64</v>
      </c>
      <c r="B10" s="32" t="s">
        <v>64</v>
      </c>
      <c r="C10" s="32">
        <f>C7+C8-C9</f>
        <v>11729622.01236804</v>
      </c>
      <c r="D10" s="32">
        <f>D7+D8-D9</f>
        <v>13002354.583569547</v>
      </c>
      <c r="E10" s="131">
        <f>E7+E8-E9</f>
        <v>16019992.153577214</v>
      </c>
    </row>
    <row r="13" spans="1:5" x14ac:dyDescent="0.3">
      <c r="A13" s="1" t="s">
        <v>119</v>
      </c>
    </row>
    <row r="15" spans="1:5" x14ac:dyDescent="0.3">
      <c r="A15" s="1" t="s">
        <v>59</v>
      </c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8F153-CB02-4A39-8F9E-FA46FFDA5D0D}">
  <dimension ref="A2:Y127"/>
  <sheetViews>
    <sheetView workbookViewId="0">
      <pane xSplit="3" ySplit="3" topLeftCell="D52" activePane="bottomRight" state="frozen"/>
      <selection pane="topRight" activeCell="D1" sqref="D1"/>
      <selection pane="bottomLeft" activeCell="A4" sqref="A4"/>
      <selection pane="bottomRight" activeCell="B62" sqref="B62:C62"/>
    </sheetView>
  </sheetViews>
  <sheetFormatPr defaultColWidth="8.88671875" defaultRowHeight="14.4" x14ac:dyDescent="0.3"/>
  <cols>
    <col min="1" max="1" width="10.88671875" style="54" bestFit="1" customWidth="1"/>
    <col min="2" max="2" width="44.109375" style="54" customWidth="1"/>
    <col min="3" max="3" width="35.6640625" style="54" customWidth="1"/>
    <col min="4" max="6" width="13.109375" style="54" bestFit="1" customWidth="1"/>
    <col min="7" max="7" width="13.44140625" style="54" bestFit="1" customWidth="1"/>
    <col min="8" max="9" width="13.109375" style="54" bestFit="1" customWidth="1"/>
    <col min="10" max="10" width="6" style="54" bestFit="1" customWidth="1"/>
    <col min="11" max="11" width="4.109375" style="72" customWidth="1"/>
    <col min="12" max="14" width="13.109375" style="54" bestFit="1" customWidth="1"/>
    <col min="15" max="15" width="13.44140625" style="54" bestFit="1" customWidth="1"/>
    <col min="16" max="16" width="13.109375" style="54" bestFit="1" customWidth="1"/>
    <col min="17" max="20" width="8.88671875" style="54"/>
    <col min="21" max="21" width="11.44140625" style="54" customWidth="1"/>
    <col min="22" max="22" width="11.6640625" style="54" bestFit="1" customWidth="1"/>
    <col min="23" max="23" width="14.6640625" style="54" bestFit="1" customWidth="1"/>
    <col min="24" max="24" width="14.6640625" style="54" customWidth="1"/>
    <col min="25" max="25" width="8.88671875" style="54"/>
    <col min="26" max="26" width="6.33203125" style="54" customWidth="1"/>
    <col min="27" max="27" width="11.5546875" style="54" bestFit="1" customWidth="1"/>
    <col min="28" max="16384" width="8.88671875" style="54"/>
  </cols>
  <sheetData>
    <row r="2" spans="1:25" x14ac:dyDescent="0.3">
      <c r="D2" s="71"/>
      <c r="E2" s="71"/>
      <c r="F2" s="71"/>
      <c r="G2" s="71"/>
      <c r="H2" s="71"/>
      <c r="I2" s="71"/>
    </row>
    <row r="3" spans="1:25" x14ac:dyDescent="0.3">
      <c r="A3" s="69" t="s">
        <v>146</v>
      </c>
      <c r="B3" s="69" t="s">
        <v>0</v>
      </c>
      <c r="C3" s="69" t="s">
        <v>0</v>
      </c>
      <c r="D3" s="69"/>
      <c r="E3" s="69"/>
      <c r="F3" s="69"/>
      <c r="G3" s="69"/>
      <c r="H3" s="69"/>
      <c r="I3" s="69"/>
      <c r="J3" s="69"/>
      <c r="L3" s="69"/>
      <c r="M3" s="69"/>
      <c r="N3" s="69">
        <v>2019</v>
      </c>
      <c r="O3" s="69">
        <v>2020</v>
      </c>
      <c r="P3" s="69">
        <v>2021</v>
      </c>
      <c r="U3" s="69" t="s">
        <v>146</v>
      </c>
      <c r="V3" s="69" t="s">
        <v>148</v>
      </c>
      <c r="W3" s="69"/>
      <c r="X3" s="69"/>
      <c r="Y3" s="69" t="s">
        <v>154</v>
      </c>
    </row>
    <row r="4" spans="1:25" x14ac:dyDescent="0.3">
      <c r="A4" s="54" t="s">
        <v>266</v>
      </c>
      <c r="B4" s="54" t="s">
        <v>1</v>
      </c>
      <c r="C4" s="54" t="s">
        <v>2</v>
      </c>
      <c r="D4" s="63"/>
      <c r="E4" s="63"/>
      <c r="F4" s="63"/>
      <c r="G4" s="63"/>
      <c r="H4" s="63"/>
      <c r="I4" s="63"/>
      <c r="L4" s="63"/>
      <c r="M4" s="63"/>
      <c r="N4" s="63">
        <v>161980426.03363431</v>
      </c>
      <c r="O4" s="63">
        <v>147193785.50263861</v>
      </c>
      <c r="P4" s="63">
        <v>135832552.07783344</v>
      </c>
    </row>
    <row r="5" spans="1:25" x14ac:dyDescent="0.3">
      <c r="A5" s="54" t="s">
        <v>266</v>
      </c>
      <c r="B5" s="54" t="s">
        <v>3</v>
      </c>
      <c r="C5" s="54" t="s">
        <v>4</v>
      </c>
      <c r="D5" s="63"/>
      <c r="E5" s="63"/>
      <c r="F5" s="63"/>
      <c r="G5" s="63"/>
      <c r="H5" s="63"/>
      <c r="I5" s="63"/>
      <c r="L5" s="63"/>
      <c r="M5" s="63"/>
      <c r="N5" s="63">
        <v>18033515</v>
      </c>
      <c r="O5" s="63">
        <v>13425346</v>
      </c>
      <c r="P5" s="63">
        <v>10087266</v>
      </c>
    </row>
    <row r="6" spans="1:25" x14ac:dyDescent="0.3">
      <c r="A6" s="54" t="s">
        <v>266</v>
      </c>
      <c r="B6" s="54" t="s">
        <v>199</v>
      </c>
      <c r="C6" s="54" t="s">
        <v>200</v>
      </c>
      <c r="D6" s="63"/>
      <c r="E6" s="63"/>
      <c r="F6" s="63"/>
      <c r="G6" s="63"/>
      <c r="H6" s="63"/>
      <c r="I6" s="63"/>
      <c r="L6" s="63"/>
      <c r="M6" s="63"/>
      <c r="N6" s="63">
        <v>143460.56021036324</v>
      </c>
      <c r="O6" s="63">
        <v>143460.56021036324</v>
      </c>
      <c r="P6" s="63">
        <v>143460.56021036324</v>
      </c>
    </row>
    <row r="7" spans="1:25" x14ac:dyDescent="0.3">
      <c r="A7" s="54" t="s">
        <v>266</v>
      </c>
      <c r="B7" s="54" t="s">
        <v>201</v>
      </c>
      <c r="C7" s="54" t="s">
        <v>166</v>
      </c>
      <c r="D7" s="63"/>
      <c r="E7" s="63"/>
      <c r="F7" s="63"/>
      <c r="G7" s="63"/>
      <c r="H7" s="63"/>
      <c r="I7" s="63"/>
      <c r="L7" s="63"/>
      <c r="M7" s="63"/>
      <c r="N7" s="63">
        <v>335787.42818181799</v>
      </c>
      <c r="O7" s="63">
        <v>399743.64545454574</v>
      </c>
      <c r="P7" s="63">
        <v>274009.84909090865</v>
      </c>
    </row>
    <row r="8" spans="1:25" x14ac:dyDescent="0.3">
      <c r="A8" s="54" t="s">
        <v>266</v>
      </c>
      <c r="B8" s="54" t="s">
        <v>202</v>
      </c>
      <c r="C8" s="54" t="s">
        <v>203</v>
      </c>
      <c r="D8" s="63"/>
      <c r="E8" s="63"/>
      <c r="F8" s="63"/>
      <c r="G8" s="63"/>
      <c r="H8" s="63"/>
      <c r="I8" s="63"/>
      <c r="L8" s="63"/>
      <c r="M8" s="63"/>
      <c r="N8" s="63">
        <v>28535386.408074122</v>
      </c>
      <c r="O8" s="63">
        <v>25789838.282860488</v>
      </c>
      <c r="P8" s="63">
        <v>27326940.417188648</v>
      </c>
    </row>
    <row r="9" spans="1:25" x14ac:dyDescent="0.3">
      <c r="A9" s="54" t="s">
        <v>266</v>
      </c>
      <c r="B9" s="54" t="s">
        <v>204</v>
      </c>
      <c r="C9" s="54" t="s">
        <v>167</v>
      </c>
      <c r="D9" s="63"/>
      <c r="E9" s="63"/>
      <c r="F9" s="63"/>
      <c r="G9" s="63"/>
      <c r="H9" s="63"/>
      <c r="I9" s="63"/>
      <c r="L9" s="63"/>
      <c r="M9" s="63"/>
      <c r="N9" s="63">
        <v>197373.90000000037</v>
      </c>
      <c r="O9" s="63">
        <v>196973.90000000037</v>
      </c>
      <c r="P9" s="63">
        <v>196964.40000000037</v>
      </c>
    </row>
    <row r="10" spans="1:25" x14ac:dyDescent="0.3">
      <c r="A10" s="54" t="s">
        <v>266</v>
      </c>
      <c r="B10" s="54" t="s">
        <v>205</v>
      </c>
      <c r="C10" s="54" t="s">
        <v>206</v>
      </c>
      <c r="D10" s="63"/>
      <c r="E10" s="63"/>
      <c r="F10" s="63"/>
      <c r="G10" s="63"/>
      <c r="H10" s="63"/>
      <c r="I10" s="63"/>
      <c r="L10" s="63"/>
      <c r="M10" s="63"/>
      <c r="N10" s="63">
        <v>983103.45</v>
      </c>
      <c r="O10" s="63">
        <v>0</v>
      </c>
      <c r="P10" s="63">
        <v>100000</v>
      </c>
    </row>
    <row r="11" spans="1:25" x14ac:dyDescent="0.3">
      <c r="A11" s="54" t="s">
        <v>266</v>
      </c>
      <c r="B11" s="54" t="s">
        <v>207</v>
      </c>
      <c r="C11" s="54" t="s">
        <v>8</v>
      </c>
      <c r="D11" s="63"/>
      <c r="E11" s="63"/>
      <c r="F11" s="63"/>
      <c r="G11" s="63"/>
      <c r="H11" s="63"/>
      <c r="I11" s="63"/>
      <c r="L11" s="63"/>
      <c r="M11" s="63"/>
      <c r="N11" s="63">
        <v>210209052.78010061</v>
      </c>
      <c r="O11" s="63">
        <v>187149147.89116403</v>
      </c>
      <c r="P11" s="63">
        <v>173961193.30432338</v>
      </c>
    </row>
    <row r="12" spans="1:25" x14ac:dyDescent="0.3">
      <c r="A12" s="54" t="s">
        <v>266</v>
      </c>
      <c r="B12" s="54" t="s">
        <v>208</v>
      </c>
      <c r="C12" s="54" t="s">
        <v>170</v>
      </c>
      <c r="D12" s="63"/>
      <c r="E12" s="63"/>
      <c r="F12" s="63"/>
      <c r="G12" s="63"/>
      <c r="H12" s="63"/>
      <c r="I12" s="63"/>
      <c r="L12" s="63"/>
      <c r="M12" s="63"/>
      <c r="N12" s="63">
        <v>38856987.388294674</v>
      </c>
      <c r="O12" s="63">
        <v>40886258.832292967</v>
      </c>
      <c r="P12" s="63">
        <v>55287694.80742798</v>
      </c>
    </row>
    <row r="13" spans="1:25" x14ac:dyDescent="0.3">
      <c r="A13" s="54" t="s">
        <v>266</v>
      </c>
      <c r="B13" s="54" t="s">
        <v>11</v>
      </c>
      <c r="C13" s="54" t="s">
        <v>171</v>
      </c>
      <c r="D13" s="63"/>
      <c r="E13" s="63"/>
      <c r="F13" s="63"/>
      <c r="G13" s="63"/>
      <c r="H13" s="63"/>
      <c r="I13" s="63"/>
      <c r="L13" s="63"/>
      <c r="M13" s="63"/>
      <c r="N13" s="63">
        <v>40852829.563005954</v>
      </c>
      <c r="O13" s="63">
        <v>40712438.085505947</v>
      </c>
      <c r="P13" s="63">
        <v>57105579.01550597</v>
      </c>
    </row>
    <row r="14" spans="1:25" x14ac:dyDescent="0.3">
      <c r="A14" s="54" t="s">
        <v>266</v>
      </c>
      <c r="B14" s="54" t="s">
        <v>209</v>
      </c>
      <c r="C14" s="54" t="s">
        <v>172</v>
      </c>
      <c r="D14" s="63"/>
      <c r="E14" s="63"/>
      <c r="F14" s="63"/>
      <c r="G14" s="63"/>
      <c r="H14" s="63"/>
      <c r="I14" s="63"/>
      <c r="L14" s="63"/>
      <c r="M14" s="63"/>
      <c r="N14" s="63">
        <v>179924.44</v>
      </c>
      <c r="O14" s="63">
        <v>1164576.8999999999</v>
      </c>
      <c r="P14" s="63">
        <v>181047.01000000007</v>
      </c>
    </row>
    <row r="15" spans="1:25" x14ac:dyDescent="0.3">
      <c r="A15" s="54" t="s">
        <v>266</v>
      </c>
      <c r="B15" s="54" t="s">
        <v>210</v>
      </c>
      <c r="C15" s="54" t="s">
        <v>173</v>
      </c>
      <c r="D15" s="63"/>
      <c r="E15" s="63"/>
      <c r="F15" s="63"/>
      <c r="G15" s="63"/>
      <c r="H15" s="63"/>
      <c r="I15" s="63"/>
      <c r="L15" s="63"/>
      <c r="M15" s="63"/>
      <c r="N15" s="63">
        <v>1394932.48655</v>
      </c>
      <c r="O15" s="63">
        <v>1582111.2865500001</v>
      </c>
      <c r="P15" s="63">
        <v>1445542.23655</v>
      </c>
    </row>
    <row r="16" spans="1:25" x14ac:dyDescent="0.3">
      <c r="A16" s="54" t="s">
        <v>266</v>
      </c>
      <c r="B16" s="54" t="s">
        <v>211</v>
      </c>
      <c r="C16" s="54" t="s">
        <v>174</v>
      </c>
      <c r="D16" s="63"/>
      <c r="E16" s="63"/>
      <c r="F16" s="63"/>
      <c r="G16" s="63"/>
      <c r="H16" s="63"/>
      <c r="I16" s="63"/>
      <c r="L16" s="63"/>
      <c r="M16" s="63"/>
      <c r="N16" s="63">
        <v>5280199.2471970003</v>
      </c>
      <c r="O16" s="63">
        <v>16104330.419686999</v>
      </c>
      <c r="P16" s="63">
        <v>12389833.057557</v>
      </c>
    </row>
    <row r="17" spans="1:16" x14ac:dyDescent="0.3">
      <c r="A17" s="54" t="s">
        <v>266</v>
      </c>
      <c r="B17" s="54" t="s">
        <v>168</v>
      </c>
      <c r="C17" s="54" t="s">
        <v>169</v>
      </c>
      <c r="D17" s="63"/>
      <c r="E17" s="63"/>
      <c r="F17" s="63"/>
      <c r="G17" s="63"/>
      <c r="H17" s="63"/>
      <c r="I17" s="63"/>
      <c r="L17" s="63"/>
      <c r="M17" s="63"/>
      <c r="N17" s="63">
        <v>10136261</v>
      </c>
      <c r="O17" s="63">
        <v>2576681.58</v>
      </c>
      <c r="P17" s="63">
        <v>70845</v>
      </c>
    </row>
    <row r="18" spans="1:16" x14ac:dyDescent="0.3">
      <c r="A18" s="54" t="s">
        <v>266</v>
      </c>
      <c r="B18" s="54" t="s">
        <v>212</v>
      </c>
      <c r="C18" s="54" t="s">
        <v>16</v>
      </c>
      <c r="D18" s="63"/>
      <c r="E18" s="63"/>
      <c r="F18" s="63"/>
      <c r="G18" s="63"/>
      <c r="H18" s="63"/>
      <c r="I18" s="63"/>
      <c r="L18" s="63"/>
      <c r="M18" s="63"/>
      <c r="N18" s="63">
        <v>96701134.125047624</v>
      </c>
      <c r="O18" s="63">
        <v>103026397.10403591</v>
      </c>
      <c r="P18" s="63">
        <v>126480541.12704095</v>
      </c>
    </row>
    <row r="19" spans="1:16" x14ac:dyDescent="0.3">
      <c r="A19" s="54" t="s">
        <v>266</v>
      </c>
      <c r="B19" s="54" t="s">
        <v>213</v>
      </c>
      <c r="C19" s="54" t="s">
        <v>18</v>
      </c>
      <c r="D19" s="63"/>
      <c r="E19" s="63"/>
      <c r="F19" s="63"/>
      <c r="G19" s="63"/>
      <c r="H19" s="63"/>
      <c r="I19" s="63"/>
      <c r="L19" s="63"/>
      <c r="M19" s="63"/>
      <c r="N19" s="63">
        <v>306910186.90514827</v>
      </c>
      <c r="O19" s="63">
        <v>290175544.99519992</v>
      </c>
      <c r="P19" s="63">
        <v>300441734.4313643</v>
      </c>
    </row>
    <row r="20" spans="1:16" x14ac:dyDescent="0.3">
      <c r="A20" s="54" t="s">
        <v>266</v>
      </c>
      <c r="B20" s="54" t="s">
        <v>19</v>
      </c>
      <c r="C20" s="54" t="s">
        <v>20</v>
      </c>
      <c r="D20" s="63"/>
      <c r="E20" s="63"/>
      <c r="F20" s="63"/>
      <c r="G20" s="63"/>
      <c r="H20" s="63"/>
      <c r="I20" s="63"/>
      <c r="L20" s="63"/>
      <c r="M20" s="63"/>
      <c r="N20" s="63">
        <v>26412210.343439996</v>
      </c>
      <c r="O20" s="63">
        <v>26412210.343440004</v>
      </c>
      <c r="P20" s="63">
        <v>26412210.343440004</v>
      </c>
    </row>
    <row r="21" spans="1:16" s="68" customFormat="1" x14ac:dyDescent="0.3">
      <c r="A21" s="54" t="s">
        <v>266</v>
      </c>
      <c r="B21" s="68" t="s">
        <v>215</v>
      </c>
      <c r="C21" s="68" t="s">
        <v>22</v>
      </c>
      <c r="D21" s="70"/>
      <c r="E21" s="70"/>
      <c r="F21" s="70"/>
      <c r="G21" s="70"/>
      <c r="H21" s="70"/>
      <c r="I21" s="70"/>
      <c r="J21" s="54"/>
      <c r="K21" s="73"/>
      <c r="L21" s="63"/>
      <c r="M21" s="63"/>
      <c r="N21" s="63">
        <v>2182283.0000000005</v>
      </c>
      <c r="O21" s="63">
        <v>2182283</v>
      </c>
      <c r="P21" s="63">
        <v>2182283</v>
      </c>
    </row>
    <row r="22" spans="1:16" x14ac:dyDescent="0.3">
      <c r="A22" s="54" t="s">
        <v>266</v>
      </c>
      <c r="B22" s="54" t="s">
        <v>23</v>
      </c>
      <c r="C22" s="54" t="s">
        <v>175</v>
      </c>
      <c r="D22" s="63"/>
      <c r="E22" s="63"/>
      <c r="F22" s="63"/>
      <c r="G22" s="63"/>
      <c r="H22" s="63"/>
      <c r="I22" s="63"/>
      <c r="L22" s="63"/>
      <c r="M22" s="63"/>
      <c r="N22" s="63">
        <v>59566304.240976468</v>
      </c>
      <c r="O22" s="63">
        <v>59943604.88875024</v>
      </c>
      <c r="P22" s="63">
        <v>60803936.518227242</v>
      </c>
    </row>
    <row r="23" spans="1:16" x14ac:dyDescent="0.3">
      <c r="A23" s="54" t="s">
        <v>266</v>
      </c>
      <c r="B23" s="54" t="s">
        <v>24</v>
      </c>
      <c r="C23" s="54" t="s">
        <v>25</v>
      </c>
      <c r="D23" s="63"/>
      <c r="E23" s="63"/>
      <c r="F23" s="63"/>
      <c r="G23" s="63"/>
      <c r="H23" s="63"/>
      <c r="I23" s="63"/>
      <c r="L23" s="63"/>
      <c r="M23" s="63"/>
      <c r="N23" s="63">
        <v>52618585.808592618</v>
      </c>
      <c r="O23" s="63">
        <v>52567884.209004231</v>
      </c>
      <c r="P23" s="63">
        <v>52470280.655825526</v>
      </c>
    </row>
    <row r="24" spans="1:16" x14ac:dyDescent="0.3">
      <c r="A24" s="54" t="s">
        <v>266</v>
      </c>
      <c r="B24" s="54" t="s">
        <v>216</v>
      </c>
      <c r="C24" s="54" t="s">
        <v>217</v>
      </c>
      <c r="D24" s="63"/>
      <c r="E24" s="63"/>
      <c r="F24" s="63"/>
      <c r="G24" s="63"/>
      <c r="H24" s="63"/>
      <c r="I24" s="63"/>
      <c r="L24" s="63"/>
      <c r="M24" s="63"/>
      <c r="N24" s="63">
        <v>140779383.39300907</v>
      </c>
      <c r="O24" s="63">
        <v>141105982.44119447</v>
      </c>
      <c r="P24" s="63">
        <v>141868710.51749277</v>
      </c>
    </row>
    <row r="25" spans="1:16" x14ac:dyDescent="0.3">
      <c r="A25" s="54" t="s">
        <v>266</v>
      </c>
      <c r="B25" s="54" t="s">
        <v>218</v>
      </c>
      <c r="C25" s="54" t="s">
        <v>219</v>
      </c>
      <c r="D25" s="63"/>
      <c r="E25" s="63"/>
      <c r="F25" s="63"/>
      <c r="G25" s="63"/>
      <c r="H25" s="63"/>
      <c r="I25" s="63"/>
      <c r="L25" s="63"/>
      <c r="M25" s="63"/>
      <c r="N25" s="63">
        <v>937863.95077047276</v>
      </c>
      <c r="O25" s="63">
        <v>911142.17706565105</v>
      </c>
      <c r="P25" s="63">
        <v>916008.5585736793</v>
      </c>
    </row>
    <row r="26" spans="1:16" x14ac:dyDescent="0.3">
      <c r="A26" s="54" t="s">
        <v>266</v>
      </c>
      <c r="B26" s="54" t="s">
        <v>220</v>
      </c>
      <c r="C26" s="54" t="s">
        <v>221</v>
      </c>
      <c r="D26" s="63"/>
      <c r="E26" s="63"/>
      <c r="F26" s="63"/>
      <c r="G26" s="63"/>
      <c r="H26" s="63"/>
      <c r="I26" s="63"/>
      <c r="L26" s="63"/>
      <c r="M26" s="63"/>
      <c r="N26" s="63">
        <v>141717247.34377953</v>
      </c>
      <c r="O26" s="63">
        <v>142017124.61826012</v>
      </c>
      <c r="P26" s="63">
        <v>142784720.07606646</v>
      </c>
    </row>
    <row r="27" spans="1:16" x14ac:dyDescent="0.3">
      <c r="A27" s="54" t="s">
        <v>266</v>
      </c>
      <c r="B27" s="54" t="s">
        <v>222</v>
      </c>
      <c r="C27" s="54" t="s">
        <v>223</v>
      </c>
      <c r="D27" s="63"/>
      <c r="E27" s="63"/>
      <c r="F27" s="63"/>
      <c r="G27" s="63"/>
      <c r="H27" s="63"/>
      <c r="I27" s="63"/>
      <c r="L27" s="63"/>
      <c r="M27" s="63"/>
      <c r="N27" s="63">
        <v>283594.23824699997</v>
      </c>
      <c r="O27" s="63">
        <v>248808.238247</v>
      </c>
      <c r="P27" s="63">
        <v>446038</v>
      </c>
    </row>
    <row r="28" spans="1:16" x14ac:dyDescent="0.3">
      <c r="A28" s="54" t="s">
        <v>266</v>
      </c>
      <c r="B28" s="54" t="s">
        <v>224</v>
      </c>
      <c r="C28" s="54" t="s">
        <v>31</v>
      </c>
      <c r="D28" s="63"/>
      <c r="E28" s="63"/>
      <c r="F28" s="63"/>
      <c r="G28" s="63"/>
      <c r="H28" s="63"/>
      <c r="I28" s="63"/>
      <c r="L28" s="63"/>
      <c r="M28" s="63"/>
      <c r="N28" s="63">
        <v>8897478</v>
      </c>
      <c r="O28" s="63">
        <v>8364029</v>
      </c>
      <c r="P28" s="63">
        <v>7857468</v>
      </c>
    </row>
    <row r="29" spans="1:16" x14ac:dyDescent="0.3">
      <c r="A29" s="54" t="s">
        <v>266</v>
      </c>
      <c r="B29" s="54" t="s">
        <v>181</v>
      </c>
      <c r="C29" s="54" t="s">
        <v>182</v>
      </c>
      <c r="D29" s="63"/>
      <c r="E29" s="63"/>
      <c r="F29" s="63"/>
      <c r="G29" s="63"/>
      <c r="H29" s="63"/>
      <c r="I29" s="63"/>
      <c r="L29" s="63"/>
      <c r="M29" s="63"/>
      <c r="N29" s="63">
        <v>28909454.638776001</v>
      </c>
      <c r="O29" s="63">
        <v>15736863.67</v>
      </c>
      <c r="P29" s="63">
        <v>11984709.77</v>
      </c>
    </row>
    <row r="30" spans="1:16" x14ac:dyDescent="0.3">
      <c r="A30" s="54" t="s">
        <v>266</v>
      </c>
      <c r="B30" s="54" t="s">
        <v>225</v>
      </c>
      <c r="C30" s="54" t="s">
        <v>183</v>
      </c>
      <c r="D30" s="63"/>
      <c r="E30" s="63"/>
      <c r="F30" s="63"/>
      <c r="G30" s="63"/>
      <c r="H30" s="63"/>
      <c r="I30" s="63"/>
      <c r="L30" s="63"/>
      <c r="M30" s="63"/>
      <c r="N30" s="63">
        <v>24443923.390000001</v>
      </c>
      <c r="O30" s="63">
        <v>20694980.75</v>
      </c>
      <c r="P30" s="63">
        <v>16951998.100000001</v>
      </c>
    </row>
    <row r="31" spans="1:16" x14ac:dyDescent="0.3">
      <c r="A31" s="54" t="s">
        <v>266</v>
      </c>
      <c r="B31" s="54" t="s">
        <v>226</v>
      </c>
      <c r="C31" s="54" t="s">
        <v>35</v>
      </c>
      <c r="D31" s="63"/>
      <c r="E31" s="63"/>
      <c r="F31" s="63"/>
      <c r="G31" s="63"/>
      <c r="H31" s="63"/>
      <c r="I31" s="63"/>
      <c r="L31" s="63"/>
      <c r="M31" s="63"/>
      <c r="N31" s="63">
        <v>62534450.267022997</v>
      </c>
      <c r="O31" s="63">
        <v>45044681.658247001</v>
      </c>
      <c r="P31" s="63">
        <v>37240213.870000005</v>
      </c>
    </row>
    <row r="32" spans="1:16" x14ac:dyDescent="0.3">
      <c r="A32" s="54" t="s">
        <v>266</v>
      </c>
      <c r="B32" s="54" t="s">
        <v>176</v>
      </c>
      <c r="C32" s="54" t="s">
        <v>227</v>
      </c>
      <c r="D32" s="63"/>
      <c r="E32" s="63"/>
      <c r="F32" s="63"/>
      <c r="G32" s="63"/>
      <c r="H32" s="63"/>
      <c r="I32" s="63"/>
      <c r="L32" s="63"/>
      <c r="M32" s="63"/>
      <c r="N32" s="63">
        <v>36232955.214900851</v>
      </c>
      <c r="O32" s="63">
        <v>37461479.418700837</v>
      </c>
      <c r="P32" s="63">
        <v>55186922.47597485</v>
      </c>
    </row>
    <row r="33" spans="1:16" x14ac:dyDescent="0.3">
      <c r="A33" s="54" t="s">
        <v>266</v>
      </c>
      <c r="B33" s="54" t="s">
        <v>177</v>
      </c>
      <c r="C33" s="54" t="s">
        <v>178</v>
      </c>
      <c r="D33" s="63"/>
      <c r="E33" s="63"/>
      <c r="F33" s="63"/>
      <c r="G33" s="63"/>
      <c r="H33" s="63"/>
      <c r="I33" s="63"/>
      <c r="L33" s="63"/>
      <c r="M33" s="63"/>
      <c r="N33" s="63">
        <v>57630076.221224003</v>
      </c>
      <c r="O33" s="63">
        <v>56711366.030000001</v>
      </c>
      <c r="P33" s="63">
        <v>55206700.740000002</v>
      </c>
    </row>
    <row r="34" spans="1:16" x14ac:dyDescent="0.3">
      <c r="A34" s="54" t="s">
        <v>266</v>
      </c>
      <c r="B34" s="54" t="s">
        <v>179</v>
      </c>
      <c r="C34" s="54" t="s">
        <v>180</v>
      </c>
      <c r="D34" s="63"/>
      <c r="E34" s="63"/>
      <c r="F34" s="63"/>
      <c r="G34" s="63"/>
      <c r="H34" s="63"/>
      <c r="I34" s="63"/>
      <c r="L34" s="63"/>
      <c r="M34" s="63"/>
      <c r="N34" s="63">
        <v>8795459.0958750006</v>
      </c>
      <c r="O34" s="63">
        <v>8940893.5458750017</v>
      </c>
      <c r="P34" s="63">
        <v>10023177.346875001</v>
      </c>
    </row>
    <row r="35" spans="1:16" x14ac:dyDescent="0.3">
      <c r="A35" s="54" t="s">
        <v>266</v>
      </c>
      <c r="B35" s="54" t="s">
        <v>228</v>
      </c>
      <c r="C35" s="54" t="s">
        <v>39</v>
      </c>
      <c r="D35" s="63"/>
      <c r="E35" s="63"/>
      <c r="F35" s="63"/>
      <c r="G35" s="63"/>
      <c r="H35" s="63"/>
      <c r="I35" s="63"/>
      <c r="L35" s="63"/>
      <c r="M35" s="63"/>
      <c r="N35" s="63">
        <v>102658490.53199986</v>
      </c>
      <c r="O35" s="63">
        <v>103113738.99457584</v>
      </c>
      <c r="P35" s="63">
        <v>120416799.96284986</v>
      </c>
    </row>
    <row r="36" spans="1:16" x14ac:dyDescent="0.3">
      <c r="A36" s="54" t="s">
        <v>266</v>
      </c>
      <c r="B36" s="54" t="s">
        <v>229</v>
      </c>
      <c r="C36" s="54" t="s">
        <v>41</v>
      </c>
      <c r="D36" s="63"/>
      <c r="E36" s="63"/>
      <c r="F36" s="63"/>
      <c r="G36" s="63"/>
      <c r="H36" s="63"/>
      <c r="I36" s="63"/>
      <c r="L36" s="63"/>
      <c r="M36" s="63"/>
      <c r="N36" s="63">
        <v>165192940.79902285</v>
      </c>
      <c r="O36" s="63">
        <v>148158420.65282285</v>
      </c>
      <c r="P36" s="63">
        <v>157657013.83284986</v>
      </c>
    </row>
    <row r="37" spans="1:16" x14ac:dyDescent="0.3">
      <c r="A37" s="54" t="s">
        <v>266</v>
      </c>
      <c r="B37" s="54" t="s">
        <v>230</v>
      </c>
      <c r="C37" s="54" t="s">
        <v>231</v>
      </c>
      <c r="D37" s="63"/>
      <c r="E37" s="63"/>
      <c r="F37" s="63"/>
      <c r="G37" s="63"/>
      <c r="H37" s="63"/>
      <c r="I37" s="63"/>
      <c r="L37" s="63"/>
      <c r="M37" s="63"/>
      <c r="N37" s="63">
        <v>306910188.14280236</v>
      </c>
      <c r="O37" s="63">
        <v>290175545.271083</v>
      </c>
      <c r="P37" s="63">
        <v>300441733.90891635</v>
      </c>
    </row>
    <row r="38" spans="1:16" x14ac:dyDescent="0.3">
      <c r="A38" s="54" t="s">
        <v>266</v>
      </c>
      <c r="B38" s="54" t="s">
        <v>184</v>
      </c>
      <c r="C38" s="54" t="s">
        <v>45</v>
      </c>
      <c r="D38" s="63"/>
      <c r="E38" s="63"/>
      <c r="F38" s="63"/>
      <c r="G38" s="63"/>
      <c r="H38" s="63"/>
      <c r="I38" s="63"/>
      <c r="L38" s="63"/>
      <c r="M38" s="63"/>
      <c r="N38" s="63">
        <v>187560270.35068965</v>
      </c>
      <c r="O38" s="63">
        <v>193429377.01944542</v>
      </c>
      <c r="P38" s="63">
        <v>247006542.93567088</v>
      </c>
    </row>
    <row r="39" spans="1:16" x14ac:dyDescent="0.3">
      <c r="A39" s="54" t="s">
        <v>266</v>
      </c>
      <c r="B39" s="54" t="s">
        <v>55</v>
      </c>
      <c r="C39" s="54" t="s">
        <v>185</v>
      </c>
      <c r="D39" s="63"/>
      <c r="E39" s="63"/>
      <c r="F39" s="63"/>
      <c r="G39" s="63"/>
      <c r="H39" s="63"/>
      <c r="I39" s="63"/>
      <c r="L39" s="63"/>
      <c r="M39" s="63"/>
      <c r="N39" s="63">
        <v>4121692.34</v>
      </c>
      <c r="O39" s="63">
        <v>3648286.5999999996</v>
      </c>
      <c r="P39" s="63">
        <v>3976151.5</v>
      </c>
    </row>
    <row r="40" spans="1:16" x14ac:dyDescent="0.3">
      <c r="A40" s="54" t="s">
        <v>266</v>
      </c>
      <c r="B40" s="54" t="s">
        <v>186</v>
      </c>
      <c r="C40" s="54" t="s">
        <v>187</v>
      </c>
      <c r="D40" s="63"/>
      <c r="E40" s="63"/>
      <c r="F40" s="63"/>
      <c r="G40" s="63"/>
      <c r="H40" s="63"/>
      <c r="I40" s="63"/>
      <c r="L40" s="63"/>
      <c r="M40" s="63"/>
      <c r="N40" s="63">
        <v>4198844</v>
      </c>
      <c r="O40" s="63">
        <v>-973188</v>
      </c>
      <c r="P40" s="63">
        <v>4388103.8899999997</v>
      </c>
    </row>
    <row r="41" spans="1:16" x14ac:dyDescent="0.3">
      <c r="A41" s="54" t="s">
        <v>266</v>
      </c>
      <c r="B41" s="54" t="s">
        <v>188</v>
      </c>
      <c r="C41" s="54" t="s">
        <v>46</v>
      </c>
      <c r="D41" s="63"/>
      <c r="E41" s="63"/>
      <c r="F41" s="63"/>
      <c r="G41" s="63"/>
      <c r="H41" s="63"/>
      <c r="I41" s="63"/>
      <c r="L41" s="63"/>
      <c r="M41" s="63"/>
      <c r="N41" s="63">
        <v>-119691376.31676728</v>
      </c>
      <c r="O41" s="63">
        <v>-112526038.48234725</v>
      </c>
      <c r="P41" s="63">
        <v>-168812815.59651133</v>
      </c>
    </row>
    <row r="42" spans="1:16" x14ac:dyDescent="0.3">
      <c r="A42" s="54" t="s">
        <v>266</v>
      </c>
      <c r="B42" s="54" t="s">
        <v>189</v>
      </c>
      <c r="C42" s="54" t="s">
        <v>232</v>
      </c>
      <c r="D42" s="63"/>
      <c r="E42" s="63"/>
      <c r="F42" s="63"/>
      <c r="G42" s="63"/>
      <c r="H42" s="63"/>
      <c r="I42" s="63"/>
      <c r="L42" s="63"/>
      <c r="M42" s="63"/>
      <c r="N42" s="63">
        <v>-50471460.919999994</v>
      </c>
      <c r="O42" s="63">
        <v>-52220575.539999999</v>
      </c>
      <c r="P42" s="63">
        <v>-55550132.920000002</v>
      </c>
    </row>
    <row r="43" spans="1:16" x14ac:dyDescent="0.3">
      <c r="A43" s="54" t="s">
        <v>266</v>
      </c>
      <c r="B43" s="54" t="s">
        <v>190</v>
      </c>
      <c r="C43" s="54" t="s">
        <v>47</v>
      </c>
      <c r="D43" s="63"/>
      <c r="E43" s="63"/>
      <c r="F43" s="63"/>
      <c r="G43" s="63"/>
      <c r="H43" s="63"/>
      <c r="I43" s="63"/>
      <c r="L43" s="63"/>
      <c r="M43" s="63"/>
      <c r="N43" s="63">
        <v>-12228469.539999999</v>
      </c>
      <c r="O43" s="63">
        <v>-11510071.9</v>
      </c>
      <c r="P43" s="63">
        <v>-11181367.649999999</v>
      </c>
    </row>
    <row r="44" spans="1:16" x14ac:dyDescent="0.3">
      <c r="A44" s="54" t="s">
        <v>266</v>
      </c>
      <c r="B44" s="54" t="s">
        <v>191</v>
      </c>
      <c r="C44" s="54" t="s">
        <v>49</v>
      </c>
      <c r="D44" s="63"/>
      <c r="E44" s="63"/>
      <c r="F44" s="63"/>
      <c r="G44" s="63"/>
      <c r="H44" s="63"/>
      <c r="I44" s="63"/>
      <c r="L44" s="63"/>
      <c r="M44" s="63"/>
      <c r="N44" s="63">
        <v>-13321558.963716043</v>
      </c>
      <c r="O44" s="63">
        <v>-13649943.76</v>
      </c>
      <c r="P44" s="63">
        <v>-14365084</v>
      </c>
    </row>
    <row r="45" spans="1:16" x14ac:dyDescent="0.3">
      <c r="A45" s="54" t="s">
        <v>266</v>
      </c>
      <c r="B45" s="54" t="s">
        <v>192</v>
      </c>
      <c r="C45" s="54" t="s">
        <v>233</v>
      </c>
      <c r="D45" s="63"/>
      <c r="E45" s="63"/>
      <c r="F45" s="63"/>
      <c r="G45" s="63"/>
      <c r="H45" s="63"/>
      <c r="I45" s="63"/>
      <c r="L45" s="63"/>
      <c r="M45" s="63"/>
      <c r="N45" s="63">
        <v>2596661.73</v>
      </c>
      <c r="O45" s="63">
        <v>858665.71999999974</v>
      </c>
      <c r="P45" s="63">
        <v>413971.02999999997</v>
      </c>
    </row>
    <row r="46" spans="1:16" x14ac:dyDescent="0.3">
      <c r="A46" s="54" t="s">
        <v>266</v>
      </c>
      <c r="B46" s="54" t="s">
        <v>193</v>
      </c>
      <c r="C46" s="54" t="s">
        <v>194</v>
      </c>
      <c r="D46" s="63"/>
      <c r="E46" s="63"/>
      <c r="F46" s="63"/>
      <c r="G46" s="63"/>
      <c r="H46" s="63"/>
      <c r="I46" s="63"/>
      <c r="L46" s="63"/>
      <c r="M46" s="63"/>
      <c r="N46" s="63">
        <v>2764602.6802063412</v>
      </c>
      <c r="O46" s="63">
        <v>7056511.6570981657</v>
      </c>
      <c r="P46" s="63">
        <v>5875369.1891595339</v>
      </c>
    </row>
    <row r="47" spans="1:16" x14ac:dyDescent="0.3">
      <c r="A47" s="54" t="s">
        <v>266</v>
      </c>
      <c r="B47" s="54" t="s">
        <v>195</v>
      </c>
      <c r="C47" s="54" t="s">
        <v>196</v>
      </c>
      <c r="D47" s="63"/>
      <c r="E47" s="63"/>
      <c r="F47" s="63"/>
      <c r="G47" s="63"/>
      <c r="H47" s="63"/>
      <c r="I47" s="63"/>
      <c r="L47" s="63"/>
      <c r="M47" s="63"/>
      <c r="N47" s="63">
        <v>5917.8199999999906</v>
      </c>
      <c r="O47" s="63">
        <v>38724.54</v>
      </c>
      <c r="P47" s="63">
        <v>73394.049999999988</v>
      </c>
    </row>
    <row r="48" spans="1:16" x14ac:dyDescent="0.3">
      <c r="A48" s="54" t="s">
        <v>266</v>
      </c>
      <c r="B48" s="54" t="s">
        <v>197</v>
      </c>
      <c r="C48" s="54" t="s">
        <v>234</v>
      </c>
      <c r="D48" s="63"/>
      <c r="E48" s="63"/>
      <c r="F48" s="63"/>
      <c r="G48" s="63"/>
      <c r="H48" s="63"/>
      <c r="I48" s="63"/>
      <c r="L48" s="63"/>
      <c r="M48" s="63"/>
      <c r="N48" s="63">
        <v>-3335422.2516161175</v>
      </c>
      <c r="O48" s="63">
        <v>-2862097.8992093513</v>
      </c>
      <c r="P48" s="63">
        <v>-2375355.880543605</v>
      </c>
    </row>
    <row r="49" spans="1:16" x14ac:dyDescent="0.3">
      <c r="A49" s="54" t="s">
        <v>266</v>
      </c>
      <c r="B49" s="54" t="s">
        <v>235</v>
      </c>
      <c r="C49" s="54" t="s">
        <v>236</v>
      </c>
      <c r="D49" s="63"/>
      <c r="E49" s="63"/>
      <c r="F49" s="63"/>
      <c r="G49" s="63"/>
      <c r="H49" s="63"/>
      <c r="I49" s="63"/>
      <c r="L49" s="63"/>
      <c r="M49" s="63"/>
      <c r="N49" s="63">
        <v>1432865.6837778185</v>
      </c>
      <c r="O49" s="63">
        <v>-1244002.6943192671</v>
      </c>
      <c r="P49" s="63">
        <v>2857338.5149612864</v>
      </c>
    </row>
    <row r="50" spans="1:16" x14ac:dyDescent="0.3">
      <c r="A50" s="54" t="s">
        <v>266</v>
      </c>
      <c r="B50" s="54" t="s">
        <v>50</v>
      </c>
      <c r="C50" s="54" t="s">
        <v>237</v>
      </c>
      <c r="D50" s="63"/>
      <c r="E50" s="63"/>
      <c r="F50" s="63"/>
      <c r="G50" s="63"/>
      <c r="H50" s="63"/>
      <c r="I50" s="63"/>
      <c r="L50" s="63"/>
      <c r="M50" s="63"/>
      <c r="N50" s="63">
        <v>867963.93236804195</v>
      </c>
      <c r="O50" s="63">
        <v>2989135.6035695476</v>
      </c>
      <c r="P50" s="63">
        <v>6430745.8735772148</v>
      </c>
    </row>
    <row r="51" spans="1:16" x14ac:dyDescent="0.3">
      <c r="A51" s="54" t="s">
        <v>266</v>
      </c>
      <c r="B51" s="54" t="s">
        <v>52</v>
      </c>
      <c r="C51" s="54" t="s">
        <v>238</v>
      </c>
      <c r="D51" s="63"/>
      <c r="E51" s="63"/>
      <c r="F51" s="63"/>
      <c r="G51" s="63"/>
      <c r="H51" s="63"/>
      <c r="I51" s="63"/>
      <c r="L51" s="63"/>
      <c r="M51" s="63"/>
      <c r="N51" s="63">
        <v>-302904</v>
      </c>
      <c r="O51" s="63">
        <v>-457742</v>
      </c>
      <c r="P51" s="63">
        <v>-754563.4</v>
      </c>
    </row>
    <row r="52" spans="1:16" x14ac:dyDescent="0.3">
      <c r="A52" s="54" t="s">
        <v>266</v>
      </c>
      <c r="B52" s="54" t="s">
        <v>239</v>
      </c>
      <c r="C52" s="54" t="s">
        <v>240</v>
      </c>
      <c r="D52" s="63"/>
      <c r="E52" s="63"/>
      <c r="F52" s="63"/>
      <c r="G52" s="63"/>
      <c r="H52" s="63"/>
      <c r="I52" s="63"/>
      <c r="L52" s="63"/>
      <c r="M52" s="63"/>
      <c r="N52" s="63">
        <v>565059.93236804195</v>
      </c>
      <c r="O52" s="63">
        <v>2531393.6035695476</v>
      </c>
      <c r="P52" s="63">
        <v>5676182.4735772144</v>
      </c>
    </row>
    <row r="53" spans="1:16" x14ac:dyDescent="0.3">
      <c r="A53" s="54" t="s">
        <v>266</v>
      </c>
      <c r="B53" s="54" t="s">
        <v>267</v>
      </c>
      <c r="C53" s="54" t="s">
        <v>241</v>
      </c>
      <c r="D53" s="63"/>
      <c r="E53" s="63"/>
      <c r="F53" s="63"/>
      <c r="G53" s="63"/>
      <c r="H53" s="63"/>
      <c r="I53" s="63"/>
      <c r="L53" s="63"/>
      <c r="M53" s="63"/>
      <c r="N53" s="63">
        <v>565748.93236804195</v>
      </c>
      <c r="O53" s="63">
        <v>2527355.6035695476</v>
      </c>
      <c r="P53" s="63">
        <v>5678872.4735772144</v>
      </c>
    </row>
    <row r="54" spans="1:16" x14ac:dyDescent="0.3">
      <c r="A54" s="54" t="s">
        <v>266</v>
      </c>
      <c r="B54" s="54" t="s">
        <v>268</v>
      </c>
      <c r="C54" s="54" t="s">
        <v>242</v>
      </c>
      <c r="D54" s="63"/>
      <c r="E54" s="63"/>
      <c r="F54" s="63"/>
      <c r="G54" s="63"/>
      <c r="H54" s="63"/>
      <c r="I54" s="63"/>
      <c r="L54" s="63"/>
      <c r="M54" s="63"/>
      <c r="N54" s="63">
        <v>-689</v>
      </c>
      <c r="O54" s="63">
        <v>4038</v>
      </c>
      <c r="P54" s="63">
        <v>-2690</v>
      </c>
    </row>
    <row r="55" spans="1:16" x14ac:dyDescent="0.3">
      <c r="A55" s="54" t="s">
        <v>266</v>
      </c>
      <c r="B55" s="54" t="s">
        <v>243</v>
      </c>
      <c r="C55" s="54" t="s">
        <v>244</v>
      </c>
      <c r="D55" s="63"/>
      <c r="E55" s="63"/>
      <c r="F55" s="63"/>
      <c r="G55" s="63"/>
      <c r="H55" s="63"/>
      <c r="I55" s="63"/>
      <c r="L55" s="63"/>
      <c r="M55" s="63"/>
      <c r="N55" s="63">
        <v>565059.93236804195</v>
      </c>
      <c r="O55" s="63">
        <v>2531393.6035695476</v>
      </c>
      <c r="P55" s="63">
        <v>5676182.4735772144</v>
      </c>
    </row>
    <row r="56" spans="1:16" x14ac:dyDescent="0.3">
      <c r="A56" s="54" t="s">
        <v>266</v>
      </c>
      <c r="B56" s="54" t="s">
        <v>245</v>
      </c>
      <c r="C56" s="54" t="s">
        <v>246</v>
      </c>
      <c r="D56" s="63"/>
      <c r="E56" s="63"/>
      <c r="F56" s="63"/>
      <c r="G56" s="63"/>
      <c r="H56" s="63"/>
      <c r="I56" s="63"/>
      <c r="L56" s="63"/>
      <c r="M56" s="63"/>
      <c r="N56" s="63">
        <v>144</v>
      </c>
      <c r="O56" s="63">
        <v>12171</v>
      </c>
      <c r="P56" s="63">
        <v>114</v>
      </c>
    </row>
    <row r="57" spans="1:16" x14ac:dyDescent="0.3">
      <c r="A57" s="54" t="s">
        <v>266</v>
      </c>
      <c r="B57" s="54" t="s">
        <v>247</v>
      </c>
      <c r="C57" s="54" t="s">
        <v>248</v>
      </c>
      <c r="D57" s="63"/>
      <c r="E57" s="63"/>
      <c r="F57" s="63"/>
      <c r="G57" s="63"/>
      <c r="H57" s="63"/>
      <c r="I57" s="63"/>
      <c r="L57" s="63"/>
      <c r="M57" s="63"/>
      <c r="N57" s="63">
        <v>0</v>
      </c>
      <c r="O57" s="63">
        <v>0</v>
      </c>
      <c r="P57" s="63">
        <v>0</v>
      </c>
    </row>
    <row r="58" spans="1:16" x14ac:dyDescent="0.3">
      <c r="A58" s="54" t="s">
        <v>266</v>
      </c>
      <c r="B58" s="54" t="s">
        <v>249</v>
      </c>
      <c r="C58" s="54" t="s">
        <v>250</v>
      </c>
      <c r="D58" s="63"/>
      <c r="E58" s="63"/>
      <c r="F58" s="63"/>
      <c r="G58" s="63"/>
      <c r="H58" s="63"/>
      <c r="I58" s="63"/>
      <c r="L58" s="63"/>
      <c r="M58" s="63"/>
      <c r="N58" s="63">
        <v>0</v>
      </c>
      <c r="O58" s="63">
        <v>0</v>
      </c>
      <c r="P58" s="63">
        <v>0</v>
      </c>
    </row>
    <row r="59" spans="1:16" x14ac:dyDescent="0.3">
      <c r="A59" s="54" t="s">
        <v>266</v>
      </c>
      <c r="B59" s="54" t="s">
        <v>251</v>
      </c>
      <c r="C59" s="54" t="s">
        <v>252</v>
      </c>
      <c r="D59" s="63"/>
      <c r="E59" s="63"/>
      <c r="F59" s="63"/>
      <c r="G59" s="63"/>
      <c r="H59" s="63"/>
      <c r="I59" s="63"/>
      <c r="L59" s="63"/>
      <c r="M59" s="63"/>
      <c r="N59" s="63">
        <v>565203.93236804195</v>
      </c>
      <c r="O59" s="63">
        <v>2543564.6035695476</v>
      </c>
      <c r="P59" s="63">
        <v>5676296.4735772144</v>
      </c>
    </row>
    <row r="60" spans="1:16" x14ac:dyDescent="0.3">
      <c r="A60" s="54" t="s">
        <v>266</v>
      </c>
      <c r="B60" s="54" t="s">
        <v>255</v>
      </c>
      <c r="C60" s="54" t="s">
        <v>253</v>
      </c>
      <c r="D60" s="63"/>
      <c r="E60" s="63"/>
      <c r="F60" s="63"/>
      <c r="G60" s="63"/>
      <c r="H60" s="63"/>
      <c r="I60" s="63"/>
      <c r="L60" s="63"/>
      <c r="M60" s="63"/>
      <c r="N60" s="63">
        <v>565892.50007044594</v>
      </c>
      <c r="O60" s="63">
        <v>2539526.6035695476</v>
      </c>
      <c r="P60" s="63">
        <v>5678986.4735772144</v>
      </c>
    </row>
    <row r="61" spans="1:16" x14ac:dyDescent="0.3">
      <c r="A61" s="54" t="s">
        <v>266</v>
      </c>
      <c r="B61" s="54" t="s">
        <v>256</v>
      </c>
      <c r="C61" s="54" t="s">
        <v>254</v>
      </c>
      <c r="D61" s="63"/>
      <c r="E61" s="63"/>
      <c r="F61" s="63"/>
      <c r="G61" s="63"/>
      <c r="H61" s="63"/>
      <c r="I61" s="63"/>
      <c r="L61" s="63"/>
      <c r="M61" s="63"/>
      <c r="N61" s="63">
        <v>-688.5677024040051</v>
      </c>
      <c r="O61" s="63">
        <v>4038</v>
      </c>
      <c r="P61" s="63">
        <v>-2690</v>
      </c>
    </row>
    <row r="62" spans="1:16" s="53" customFormat="1" x14ac:dyDescent="0.3">
      <c r="A62" s="53" t="s">
        <v>266</v>
      </c>
      <c r="B62" s="53" t="s">
        <v>163</v>
      </c>
      <c r="C62" s="53" t="s">
        <v>163</v>
      </c>
      <c r="D62" s="175"/>
      <c r="E62" s="175"/>
      <c r="F62" s="175"/>
      <c r="G62" s="175"/>
      <c r="H62" s="175"/>
      <c r="I62" s="175"/>
      <c r="K62" s="176"/>
      <c r="L62" s="175"/>
      <c r="M62" s="175"/>
      <c r="N62" s="175">
        <v>9279549.0985902343</v>
      </c>
      <c r="O62" s="175">
        <v>15468410.007888829</v>
      </c>
      <c r="P62" s="175">
        <v>14103111.72861604</v>
      </c>
    </row>
    <row r="63" spans="1:16" x14ac:dyDescent="0.3">
      <c r="A63" s="54" t="s">
        <v>266</v>
      </c>
      <c r="B63" s="54" t="s">
        <v>259</v>
      </c>
      <c r="C63" s="54" t="s">
        <v>145</v>
      </c>
      <c r="D63" s="63"/>
      <c r="E63" s="63"/>
      <c r="F63" s="63"/>
      <c r="G63" s="63"/>
      <c r="H63" s="63"/>
      <c r="I63" s="63"/>
      <c r="L63" s="63"/>
      <c r="M63" s="63"/>
      <c r="N63" s="63">
        <v>161928909.5</v>
      </c>
      <c r="O63" s="63">
        <v>167613932.57142857</v>
      </c>
      <c r="P63" s="63">
        <v>206706148.37000003</v>
      </c>
    </row>
    <row r="64" spans="1:16" x14ac:dyDescent="0.3">
      <c r="A64" s="54" t="s">
        <v>266</v>
      </c>
      <c r="B64" s="54" t="s">
        <v>260</v>
      </c>
      <c r="C64" s="54" t="s">
        <v>258</v>
      </c>
      <c r="D64" s="63"/>
      <c r="E64" s="63"/>
      <c r="F64" s="63"/>
      <c r="G64" s="63"/>
      <c r="H64" s="63"/>
      <c r="I64" s="63"/>
      <c r="L64" s="63"/>
      <c r="M64" s="63"/>
      <c r="N64" s="63">
        <v>9256629.5506896544</v>
      </c>
      <c r="O64" s="63">
        <v>10129530.228016851</v>
      </c>
      <c r="P64" s="63">
        <v>11780651.832881356</v>
      </c>
    </row>
    <row r="65" spans="1:16" x14ac:dyDescent="0.3">
      <c r="A65" s="54" t="s">
        <v>266</v>
      </c>
      <c r="B65" s="54" t="s">
        <v>56</v>
      </c>
      <c r="C65" s="54" t="s">
        <v>61</v>
      </c>
      <c r="D65" s="63"/>
      <c r="E65" s="63"/>
      <c r="F65" s="63"/>
      <c r="G65" s="63"/>
      <c r="H65" s="63"/>
      <c r="I65" s="63"/>
      <c r="L65" s="63"/>
      <c r="M65" s="63"/>
      <c r="N65" s="63">
        <v>1568862.54</v>
      </c>
      <c r="O65" s="63">
        <v>3080131.46</v>
      </c>
      <c r="P65" s="63">
        <v>2450551.92</v>
      </c>
    </row>
    <row r="66" spans="1:16" x14ac:dyDescent="0.3">
      <c r="A66" s="54" t="s">
        <v>266</v>
      </c>
      <c r="B66" s="54" t="s">
        <v>57</v>
      </c>
      <c r="C66" s="54" t="s">
        <v>62</v>
      </c>
      <c r="D66" s="63"/>
      <c r="E66" s="63"/>
      <c r="F66" s="63"/>
      <c r="G66" s="63"/>
      <c r="H66" s="63"/>
      <c r="I66" s="63"/>
      <c r="L66" s="63"/>
      <c r="M66" s="63"/>
      <c r="N66" s="63">
        <v>14408185.819999997</v>
      </c>
      <c r="O66" s="63">
        <v>12220325.159999996</v>
      </c>
      <c r="P66" s="63">
        <v>25890203.652789541</v>
      </c>
    </row>
    <row r="67" spans="1:16" x14ac:dyDescent="0.3">
      <c r="A67" s="54" t="s">
        <v>266</v>
      </c>
      <c r="B67" s="54" t="s">
        <v>58</v>
      </c>
      <c r="C67" s="54" t="s">
        <v>63</v>
      </c>
      <c r="D67" s="63"/>
      <c r="E67" s="63"/>
      <c r="F67" s="63"/>
      <c r="G67" s="63"/>
      <c r="H67" s="63"/>
      <c r="I67" s="63"/>
      <c r="L67" s="63"/>
      <c r="M67" s="63"/>
      <c r="N67" s="63">
        <v>397682.93999999994</v>
      </c>
      <c r="O67" s="63">
        <v>385457.60000000056</v>
      </c>
      <c r="P67" s="63">
        <v>178987.16000000015</v>
      </c>
    </row>
    <row r="68" spans="1:16" x14ac:dyDescent="0.3">
      <c r="A68" s="54" t="s">
        <v>266</v>
      </c>
      <c r="B68" s="54" t="s">
        <v>53</v>
      </c>
      <c r="C68" s="20" t="s">
        <v>54</v>
      </c>
      <c r="D68" s="63"/>
      <c r="E68" s="63"/>
      <c r="F68" s="63"/>
      <c r="G68" s="63"/>
      <c r="H68" s="63"/>
      <c r="I68" s="63"/>
      <c r="L68" s="63"/>
      <c r="M68" s="63"/>
      <c r="N68" s="63">
        <v>1147728.2399999998</v>
      </c>
      <c r="O68" s="63">
        <v>803300.26999999979</v>
      </c>
      <c r="P68" s="63">
        <v>1166882.8999999997</v>
      </c>
    </row>
    <row r="69" spans="1:16" x14ac:dyDescent="0.3">
      <c r="A69" s="54" t="s">
        <v>266</v>
      </c>
      <c r="B69" s="54" t="s">
        <v>71</v>
      </c>
      <c r="C69" s="20" t="s">
        <v>103</v>
      </c>
      <c r="D69" s="63"/>
      <c r="E69" s="63"/>
      <c r="F69" s="63"/>
      <c r="G69" s="63"/>
      <c r="H69" s="63"/>
      <c r="I69" s="63"/>
      <c r="L69" s="63"/>
      <c r="M69" s="63"/>
      <c r="N69" s="63">
        <v>2973964.1</v>
      </c>
      <c r="O69" s="63">
        <v>2844986.33</v>
      </c>
      <c r="P69" s="63">
        <v>2809268.6</v>
      </c>
    </row>
    <row r="70" spans="1:16" x14ac:dyDescent="0.3">
      <c r="A70" s="54" t="s">
        <v>266</v>
      </c>
      <c r="B70" s="54" t="s">
        <v>69</v>
      </c>
      <c r="C70" s="54" t="s">
        <v>101</v>
      </c>
      <c r="D70" s="63"/>
      <c r="E70" s="63"/>
      <c r="F70" s="63"/>
      <c r="G70" s="63"/>
      <c r="H70" s="63"/>
      <c r="I70" s="63"/>
      <c r="L70" s="63"/>
      <c r="M70" s="63"/>
      <c r="N70" s="63">
        <v>1607152.6399999999</v>
      </c>
      <c r="O70" s="63">
        <v>1348133.4100000001</v>
      </c>
      <c r="P70" s="63">
        <v>1217147.23</v>
      </c>
    </row>
    <row r="71" spans="1:16" x14ac:dyDescent="0.3">
      <c r="A71" s="54" t="s">
        <v>266</v>
      </c>
      <c r="B71" s="54" t="s">
        <v>70</v>
      </c>
      <c r="C71" s="54" t="s">
        <v>102</v>
      </c>
      <c r="D71" s="63"/>
      <c r="E71" s="63"/>
      <c r="F71" s="63"/>
      <c r="G71" s="63"/>
      <c r="H71" s="63"/>
      <c r="I71" s="63"/>
      <c r="L71" s="63"/>
      <c r="M71" s="63"/>
      <c r="N71" s="63">
        <v>12228469.539999999</v>
      </c>
      <c r="O71" s="63">
        <v>11510071.9</v>
      </c>
      <c r="P71" s="63">
        <v>11181367.649999999</v>
      </c>
    </row>
    <row r="72" spans="1:16" x14ac:dyDescent="0.3">
      <c r="A72" s="54" t="s">
        <v>147</v>
      </c>
      <c r="D72" s="63"/>
      <c r="E72" s="63"/>
      <c r="F72" s="63"/>
      <c r="G72" s="63"/>
      <c r="H72" s="63"/>
      <c r="I72" s="63"/>
      <c r="L72" s="63"/>
      <c r="M72" s="63"/>
      <c r="N72" s="63">
        <v>0</v>
      </c>
      <c r="O72" s="63">
        <v>0</v>
      </c>
      <c r="P72" s="63">
        <v>0</v>
      </c>
    </row>
    <row r="73" spans="1:16" x14ac:dyDescent="0.3">
      <c r="A73" s="54" t="s">
        <v>147</v>
      </c>
      <c r="D73" s="63"/>
      <c r="E73" s="63"/>
      <c r="F73" s="63"/>
      <c r="G73" s="63"/>
      <c r="H73" s="63"/>
      <c r="I73" s="63"/>
      <c r="L73" s="63"/>
      <c r="M73" s="63"/>
      <c r="N73" s="63">
        <v>0</v>
      </c>
      <c r="O73" s="63">
        <v>0</v>
      </c>
      <c r="P73" s="63">
        <v>0</v>
      </c>
    </row>
    <row r="74" spans="1:16" x14ac:dyDescent="0.3">
      <c r="A74" s="54" t="s">
        <v>147</v>
      </c>
      <c r="D74" s="63"/>
      <c r="E74" s="63"/>
      <c r="F74" s="63"/>
      <c r="G74" s="63"/>
      <c r="H74" s="63"/>
      <c r="I74" s="63"/>
      <c r="L74" s="63"/>
      <c r="M74" s="63"/>
      <c r="N74" s="63">
        <v>0</v>
      </c>
      <c r="O74" s="63">
        <v>0</v>
      </c>
      <c r="P74" s="63">
        <v>0</v>
      </c>
    </row>
    <row r="75" spans="1:16" x14ac:dyDescent="0.3">
      <c r="A75" s="54" t="s">
        <v>147</v>
      </c>
      <c r="D75" s="63"/>
      <c r="E75" s="63"/>
      <c r="F75" s="63"/>
      <c r="G75" s="63"/>
      <c r="H75" s="63"/>
      <c r="I75" s="63"/>
      <c r="L75" s="63"/>
      <c r="M75" s="63"/>
      <c r="N75" s="63">
        <v>0</v>
      </c>
      <c r="O75" s="63">
        <v>0</v>
      </c>
      <c r="P75" s="63">
        <v>0</v>
      </c>
    </row>
    <row r="76" spans="1:16" x14ac:dyDescent="0.3">
      <c r="A76" s="54" t="s">
        <v>147</v>
      </c>
      <c r="D76" s="63"/>
      <c r="E76" s="63"/>
      <c r="F76" s="63"/>
      <c r="G76" s="63"/>
      <c r="H76" s="63"/>
      <c r="I76" s="63"/>
      <c r="L76" s="63"/>
      <c r="M76" s="63"/>
      <c r="N76" s="63">
        <v>0</v>
      </c>
      <c r="O76" s="63">
        <v>0</v>
      </c>
      <c r="P76" s="63">
        <v>0</v>
      </c>
    </row>
    <row r="77" spans="1:16" x14ac:dyDescent="0.3">
      <c r="A77" s="54" t="s">
        <v>147</v>
      </c>
      <c r="D77" s="63"/>
      <c r="E77" s="63"/>
      <c r="F77" s="63"/>
      <c r="G77" s="63"/>
      <c r="H77" s="63"/>
      <c r="I77" s="63"/>
      <c r="L77" s="63"/>
      <c r="M77" s="63"/>
      <c r="N77" s="63">
        <v>0</v>
      </c>
      <c r="O77" s="63">
        <v>0</v>
      </c>
      <c r="P77" s="63">
        <v>0</v>
      </c>
    </row>
    <row r="78" spans="1:16" x14ac:dyDescent="0.3">
      <c r="A78" s="54" t="s">
        <v>147</v>
      </c>
      <c r="D78" s="63"/>
      <c r="E78" s="63"/>
      <c r="F78" s="63"/>
      <c r="G78" s="63"/>
      <c r="H78" s="63"/>
      <c r="I78" s="63"/>
      <c r="L78" s="63"/>
      <c r="M78" s="63"/>
      <c r="N78" s="63">
        <v>0</v>
      </c>
      <c r="O78" s="63">
        <v>0</v>
      </c>
      <c r="P78" s="63">
        <v>0</v>
      </c>
    </row>
    <row r="79" spans="1:16" x14ac:dyDescent="0.3">
      <c r="A79" s="54" t="s">
        <v>147</v>
      </c>
      <c r="D79" s="63"/>
      <c r="E79" s="63"/>
      <c r="F79" s="63"/>
      <c r="G79" s="63"/>
      <c r="H79" s="63"/>
      <c r="I79" s="63"/>
      <c r="L79" s="63"/>
      <c r="M79" s="63"/>
      <c r="N79" s="63">
        <v>0</v>
      </c>
      <c r="O79" s="63">
        <v>0</v>
      </c>
      <c r="P79" s="63">
        <v>0</v>
      </c>
    </row>
    <row r="80" spans="1:16" x14ac:dyDescent="0.3">
      <c r="A80" s="54" t="s">
        <v>147</v>
      </c>
      <c r="D80" s="63"/>
      <c r="E80" s="63"/>
      <c r="F80" s="63"/>
      <c r="G80" s="63"/>
      <c r="H80" s="63"/>
      <c r="I80" s="63"/>
      <c r="L80" s="63"/>
      <c r="M80" s="63"/>
      <c r="N80" s="63">
        <v>0</v>
      </c>
      <c r="O80" s="63">
        <v>0</v>
      </c>
      <c r="P80" s="63">
        <v>0</v>
      </c>
    </row>
    <row r="81" spans="1:16" x14ac:dyDescent="0.3">
      <c r="A81" s="54" t="s">
        <v>147</v>
      </c>
      <c r="D81" s="63"/>
      <c r="E81" s="63"/>
      <c r="F81" s="63"/>
      <c r="G81" s="63"/>
      <c r="H81" s="63"/>
      <c r="I81" s="63"/>
      <c r="L81" s="63"/>
      <c r="M81" s="63"/>
      <c r="N81" s="63">
        <v>0</v>
      </c>
      <c r="O81" s="63">
        <v>0</v>
      </c>
      <c r="P81" s="63">
        <v>0</v>
      </c>
    </row>
    <row r="82" spans="1:16" x14ac:dyDescent="0.3">
      <c r="A82" s="54" t="s">
        <v>147</v>
      </c>
      <c r="D82" s="63"/>
      <c r="E82" s="63"/>
      <c r="F82" s="63"/>
      <c r="G82" s="63"/>
      <c r="H82" s="63"/>
      <c r="I82" s="63"/>
      <c r="L82" s="63"/>
      <c r="M82" s="63"/>
      <c r="N82" s="63">
        <v>0</v>
      </c>
      <c r="O82" s="63">
        <v>0</v>
      </c>
      <c r="P82" s="63">
        <v>0</v>
      </c>
    </row>
    <row r="83" spans="1:16" x14ac:dyDescent="0.3">
      <c r="A83" s="54" t="s">
        <v>147</v>
      </c>
      <c r="D83" s="63"/>
      <c r="E83" s="63"/>
      <c r="F83" s="63"/>
      <c r="G83" s="63"/>
      <c r="H83" s="63"/>
      <c r="I83" s="63"/>
      <c r="L83" s="63"/>
      <c r="M83" s="63"/>
      <c r="N83" s="63">
        <v>0</v>
      </c>
      <c r="O83" s="63">
        <v>0</v>
      </c>
      <c r="P83" s="63">
        <v>0</v>
      </c>
    </row>
    <row r="84" spans="1:16" x14ac:dyDescent="0.3">
      <c r="A84" s="54" t="s">
        <v>147</v>
      </c>
      <c r="D84" s="63"/>
      <c r="E84" s="63"/>
      <c r="F84" s="63"/>
      <c r="G84" s="63"/>
      <c r="H84" s="63"/>
      <c r="I84" s="63"/>
      <c r="L84" s="63"/>
      <c r="M84" s="63"/>
      <c r="N84" s="63">
        <v>0</v>
      </c>
      <c r="O84" s="63">
        <v>0</v>
      </c>
      <c r="P84" s="63">
        <v>0</v>
      </c>
    </row>
    <row r="85" spans="1:16" x14ac:dyDescent="0.3">
      <c r="A85" s="54" t="s">
        <v>147</v>
      </c>
      <c r="D85" s="63"/>
      <c r="E85" s="63"/>
      <c r="F85" s="63"/>
      <c r="G85" s="63"/>
      <c r="H85" s="63"/>
      <c r="I85" s="63"/>
      <c r="L85" s="63"/>
      <c r="M85" s="63"/>
      <c r="N85" s="63">
        <v>0</v>
      </c>
      <c r="O85" s="63">
        <v>0</v>
      </c>
      <c r="P85" s="63">
        <v>0</v>
      </c>
    </row>
    <row r="86" spans="1:16" x14ac:dyDescent="0.3">
      <c r="A86" s="54" t="s">
        <v>147</v>
      </c>
      <c r="D86" s="63"/>
      <c r="E86" s="63"/>
      <c r="F86" s="63"/>
      <c r="G86" s="63"/>
      <c r="H86" s="63"/>
      <c r="I86" s="63"/>
      <c r="L86" s="63"/>
      <c r="M86" s="63"/>
      <c r="N86" s="63">
        <v>0</v>
      </c>
      <c r="O86" s="63">
        <v>0</v>
      </c>
      <c r="P86" s="63">
        <v>0</v>
      </c>
    </row>
    <row r="87" spans="1:16" x14ac:dyDescent="0.3">
      <c r="A87" s="54" t="s">
        <v>147</v>
      </c>
      <c r="D87" s="63"/>
      <c r="E87" s="63"/>
      <c r="F87" s="63"/>
      <c r="G87" s="63"/>
      <c r="H87" s="63"/>
      <c r="I87" s="63"/>
      <c r="L87" s="63"/>
      <c r="M87" s="63"/>
      <c r="N87" s="63">
        <v>0</v>
      </c>
      <c r="O87" s="63">
        <v>0</v>
      </c>
      <c r="P87" s="63">
        <v>0</v>
      </c>
    </row>
    <row r="88" spans="1:16" x14ac:dyDescent="0.3">
      <c r="A88" s="54" t="s">
        <v>147</v>
      </c>
      <c r="D88" s="63"/>
      <c r="E88" s="63"/>
      <c r="F88" s="63"/>
      <c r="G88" s="63"/>
      <c r="H88" s="63"/>
      <c r="I88" s="63"/>
      <c r="L88" s="63"/>
      <c r="M88" s="63"/>
      <c r="N88" s="63">
        <v>0</v>
      </c>
      <c r="O88" s="63">
        <v>0</v>
      </c>
      <c r="P88" s="63">
        <v>0</v>
      </c>
    </row>
    <row r="89" spans="1:16" x14ac:dyDescent="0.3">
      <c r="A89" s="54" t="s">
        <v>147</v>
      </c>
      <c r="D89" s="63"/>
      <c r="E89" s="63"/>
      <c r="F89" s="63"/>
      <c r="G89" s="63"/>
      <c r="H89" s="63"/>
      <c r="I89" s="63"/>
      <c r="L89" s="63"/>
      <c r="M89" s="63"/>
      <c r="N89" s="63">
        <v>0</v>
      </c>
      <c r="O89" s="63">
        <v>0</v>
      </c>
      <c r="P89" s="63">
        <v>0</v>
      </c>
    </row>
    <row r="90" spans="1:16" x14ac:dyDescent="0.3">
      <c r="A90" s="54" t="s">
        <v>147</v>
      </c>
      <c r="D90" s="63"/>
      <c r="E90" s="63"/>
      <c r="F90" s="63"/>
      <c r="G90" s="63"/>
      <c r="H90" s="63"/>
      <c r="I90" s="63"/>
      <c r="L90" s="63"/>
      <c r="M90" s="63"/>
      <c r="N90" s="63">
        <v>0</v>
      </c>
      <c r="O90" s="63">
        <v>0</v>
      </c>
      <c r="P90" s="63">
        <v>0</v>
      </c>
    </row>
    <row r="91" spans="1:16" x14ac:dyDescent="0.3">
      <c r="A91" s="54" t="s">
        <v>147</v>
      </c>
      <c r="B91" s="68"/>
      <c r="C91" s="68"/>
      <c r="D91" s="70"/>
      <c r="E91" s="70"/>
      <c r="F91" s="70"/>
      <c r="G91" s="70"/>
      <c r="H91" s="70"/>
      <c r="I91" s="70"/>
      <c r="K91" s="73"/>
      <c r="L91" s="63"/>
      <c r="M91" s="63"/>
      <c r="N91" s="63">
        <v>0</v>
      </c>
      <c r="O91" s="63">
        <v>0</v>
      </c>
      <c r="P91" s="63">
        <v>0</v>
      </c>
    </row>
    <row r="92" spans="1:16" x14ac:dyDescent="0.3">
      <c r="A92" s="54" t="s">
        <v>147</v>
      </c>
      <c r="D92" s="63"/>
      <c r="E92" s="63"/>
      <c r="F92" s="63"/>
      <c r="G92" s="63"/>
      <c r="H92" s="63"/>
      <c r="I92" s="63"/>
      <c r="L92" s="63"/>
      <c r="M92" s="63"/>
      <c r="N92" s="63">
        <v>0</v>
      </c>
      <c r="O92" s="63">
        <v>0</v>
      </c>
      <c r="P92" s="63">
        <v>0</v>
      </c>
    </row>
    <row r="93" spans="1:16" x14ac:dyDescent="0.3">
      <c r="A93" s="54" t="s">
        <v>147</v>
      </c>
      <c r="D93" s="63"/>
      <c r="E93" s="63"/>
      <c r="F93" s="63"/>
      <c r="G93" s="63"/>
      <c r="H93" s="63"/>
      <c r="I93" s="63"/>
      <c r="L93" s="63"/>
      <c r="M93" s="63"/>
      <c r="N93" s="63">
        <v>0</v>
      </c>
      <c r="O93" s="63">
        <v>0</v>
      </c>
      <c r="P93" s="63">
        <v>0</v>
      </c>
    </row>
    <row r="94" spans="1:16" x14ac:dyDescent="0.3">
      <c r="A94" s="54" t="s">
        <v>147</v>
      </c>
      <c r="D94" s="63"/>
      <c r="E94" s="63"/>
      <c r="F94" s="63"/>
      <c r="G94" s="63"/>
      <c r="H94" s="63"/>
      <c r="I94" s="63"/>
      <c r="L94" s="63"/>
      <c r="M94" s="63"/>
      <c r="N94" s="63">
        <v>0</v>
      </c>
      <c r="O94" s="63">
        <v>0</v>
      </c>
      <c r="P94" s="63">
        <v>0</v>
      </c>
    </row>
    <row r="95" spans="1:16" x14ac:dyDescent="0.3">
      <c r="A95" s="54" t="s">
        <v>147</v>
      </c>
      <c r="D95" s="63"/>
      <c r="E95" s="63"/>
      <c r="F95" s="63"/>
      <c r="G95" s="63"/>
      <c r="H95" s="63"/>
      <c r="I95" s="63"/>
      <c r="L95" s="63"/>
      <c r="M95" s="63"/>
      <c r="N95" s="63">
        <v>0</v>
      </c>
      <c r="O95" s="63">
        <v>0</v>
      </c>
      <c r="P95" s="63">
        <v>0</v>
      </c>
    </row>
    <row r="96" spans="1:16" x14ac:dyDescent="0.3">
      <c r="A96" s="54" t="s">
        <v>147</v>
      </c>
      <c r="D96" s="63"/>
      <c r="E96" s="63"/>
      <c r="F96" s="63"/>
      <c r="G96" s="63"/>
      <c r="H96" s="63"/>
      <c r="I96" s="63"/>
      <c r="L96" s="63"/>
      <c r="M96" s="63"/>
      <c r="N96" s="63">
        <v>0</v>
      </c>
      <c r="O96" s="63">
        <v>0</v>
      </c>
      <c r="P96" s="63">
        <v>0</v>
      </c>
    </row>
    <row r="97" spans="1:16" x14ac:dyDescent="0.3">
      <c r="A97" s="54" t="s">
        <v>147</v>
      </c>
      <c r="D97" s="63"/>
      <c r="E97" s="63"/>
      <c r="F97" s="63"/>
      <c r="G97" s="63"/>
      <c r="H97" s="63"/>
      <c r="I97" s="63"/>
      <c r="L97" s="63"/>
      <c r="M97" s="63"/>
      <c r="N97" s="63">
        <v>0</v>
      </c>
      <c r="O97" s="63">
        <v>0</v>
      </c>
      <c r="P97" s="63">
        <v>0</v>
      </c>
    </row>
    <row r="98" spans="1:16" x14ac:dyDescent="0.3">
      <c r="A98" s="54" t="s">
        <v>147</v>
      </c>
      <c r="D98" s="63"/>
      <c r="E98" s="63"/>
      <c r="F98" s="63"/>
      <c r="G98" s="63"/>
      <c r="H98" s="63"/>
      <c r="I98" s="63"/>
      <c r="L98" s="63"/>
      <c r="M98" s="63"/>
      <c r="N98" s="63">
        <v>0</v>
      </c>
      <c r="O98" s="63">
        <v>0</v>
      </c>
      <c r="P98" s="63">
        <v>0</v>
      </c>
    </row>
    <row r="99" spans="1:16" x14ac:dyDescent="0.3">
      <c r="A99" s="54" t="s">
        <v>147</v>
      </c>
      <c r="D99" s="63"/>
      <c r="E99" s="63"/>
      <c r="F99" s="63"/>
      <c r="G99" s="63"/>
      <c r="H99" s="63"/>
      <c r="I99" s="63"/>
      <c r="L99" s="63"/>
      <c r="M99" s="63"/>
      <c r="N99" s="63">
        <v>0</v>
      </c>
      <c r="O99" s="63">
        <v>0</v>
      </c>
      <c r="P99" s="63">
        <v>0</v>
      </c>
    </row>
    <row r="100" spans="1:16" x14ac:dyDescent="0.3">
      <c r="A100" s="54" t="s">
        <v>147</v>
      </c>
      <c r="D100" s="63"/>
      <c r="E100" s="63"/>
      <c r="F100" s="63"/>
      <c r="G100" s="63"/>
      <c r="H100" s="63"/>
      <c r="I100" s="63"/>
      <c r="L100" s="63"/>
      <c r="M100" s="63"/>
      <c r="N100" s="63">
        <v>0</v>
      </c>
      <c r="O100" s="63">
        <v>0</v>
      </c>
      <c r="P100" s="63">
        <v>0</v>
      </c>
    </row>
    <row r="101" spans="1:16" x14ac:dyDescent="0.3">
      <c r="A101" s="54" t="s">
        <v>147</v>
      </c>
      <c r="D101" s="63"/>
      <c r="E101" s="63"/>
      <c r="F101" s="63"/>
      <c r="G101" s="63"/>
      <c r="H101" s="63"/>
      <c r="I101" s="63"/>
      <c r="L101" s="63"/>
      <c r="M101" s="63"/>
      <c r="N101" s="63">
        <v>0</v>
      </c>
      <c r="O101" s="63">
        <v>0</v>
      </c>
      <c r="P101" s="63">
        <v>0</v>
      </c>
    </row>
    <row r="102" spans="1:16" x14ac:dyDescent="0.3">
      <c r="A102" s="54" t="s">
        <v>147</v>
      </c>
      <c r="D102" s="63"/>
      <c r="E102" s="63"/>
      <c r="F102" s="63"/>
      <c r="G102" s="63"/>
      <c r="H102" s="63"/>
      <c r="I102" s="63"/>
      <c r="L102" s="63"/>
      <c r="M102" s="63"/>
      <c r="N102" s="63">
        <v>0</v>
      </c>
      <c r="O102" s="63">
        <v>0</v>
      </c>
      <c r="P102" s="63">
        <v>0</v>
      </c>
    </row>
    <row r="103" spans="1:16" x14ac:dyDescent="0.3">
      <c r="A103" s="54" t="s">
        <v>147</v>
      </c>
      <c r="D103" s="63"/>
      <c r="E103" s="63"/>
      <c r="F103" s="63"/>
      <c r="G103" s="63"/>
      <c r="H103" s="63"/>
      <c r="I103" s="63"/>
      <c r="L103" s="63"/>
      <c r="M103" s="63"/>
      <c r="N103" s="63">
        <v>0</v>
      </c>
      <c r="O103" s="63">
        <v>0</v>
      </c>
      <c r="P103" s="63">
        <v>0</v>
      </c>
    </row>
    <row r="104" spans="1:16" x14ac:dyDescent="0.3">
      <c r="A104" s="54" t="s">
        <v>147</v>
      </c>
      <c r="D104" s="63"/>
      <c r="E104" s="63"/>
      <c r="F104" s="63"/>
      <c r="G104" s="63"/>
      <c r="H104" s="63"/>
      <c r="I104" s="63"/>
      <c r="L104" s="63"/>
      <c r="M104" s="63"/>
      <c r="N104" s="63">
        <v>0</v>
      </c>
      <c r="O104" s="63">
        <v>0</v>
      </c>
      <c r="P104" s="63">
        <v>0</v>
      </c>
    </row>
    <row r="105" spans="1:16" x14ac:dyDescent="0.3">
      <c r="A105" s="54" t="s">
        <v>147</v>
      </c>
      <c r="D105" s="63"/>
      <c r="E105" s="63"/>
      <c r="F105" s="63"/>
      <c r="G105" s="63"/>
      <c r="H105" s="63"/>
      <c r="I105" s="63"/>
      <c r="L105" s="63"/>
      <c r="M105" s="63"/>
      <c r="N105" s="63">
        <v>0</v>
      </c>
      <c r="O105" s="63">
        <v>0</v>
      </c>
      <c r="P105" s="63">
        <v>0</v>
      </c>
    </row>
    <row r="106" spans="1:16" x14ac:dyDescent="0.3">
      <c r="A106" s="54" t="s">
        <v>147</v>
      </c>
      <c r="D106" s="63"/>
      <c r="E106" s="63"/>
      <c r="F106" s="63"/>
      <c r="G106" s="63"/>
      <c r="H106" s="63"/>
      <c r="I106" s="63"/>
      <c r="L106" s="63"/>
      <c r="M106" s="63"/>
      <c r="N106" s="63">
        <v>0</v>
      </c>
      <c r="O106" s="63">
        <v>0</v>
      </c>
      <c r="P106" s="63">
        <v>0</v>
      </c>
    </row>
    <row r="107" spans="1:16" x14ac:dyDescent="0.3">
      <c r="A107" s="54" t="s">
        <v>147</v>
      </c>
      <c r="D107" s="63"/>
      <c r="E107" s="63"/>
      <c r="F107" s="63"/>
      <c r="G107" s="63"/>
      <c r="H107" s="63"/>
      <c r="I107" s="63"/>
      <c r="L107" s="63"/>
      <c r="M107" s="63"/>
      <c r="N107" s="63">
        <v>0</v>
      </c>
      <c r="O107" s="63">
        <v>0</v>
      </c>
      <c r="P107" s="63">
        <v>0</v>
      </c>
    </row>
    <row r="108" spans="1:16" x14ac:dyDescent="0.3">
      <c r="A108" s="54" t="s">
        <v>147</v>
      </c>
      <c r="D108" s="63"/>
      <c r="E108" s="63"/>
      <c r="F108" s="63"/>
      <c r="G108" s="63"/>
      <c r="H108" s="63"/>
      <c r="I108" s="63"/>
      <c r="L108" s="63"/>
      <c r="M108" s="63"/>
      <c r="N108" s="63">
        <v>0</v>
      </c>
      <c r="O108" s="63">
        <v>0</v>
      </c>
      <c r="P108" s="63">
        <v>0</v>
      </c>
    </row>
    <row r="109" spans="1:16" x14ac:dyDescent="0.3">
      <c r="A109" s="54" t="s">
        <v>147</v>
      </c>
      <c r="D109" s="63"/>
      <c r="E109" s="63"/>
      <c r="F109" s="63"/>
      <c r="G109" s="63"/>
      <c r="H109" s="63"/>
      <c r="I109" s="63"/>
      <c r="L109" s="63"/>
      <c r="M109" s="63"/>
      <c r="N109" s="63">
        <v>0</v>
      </c>
      <c r="O109" s="63">
        <v>0</v>
      </c>
      <c r="P109" s="63">
        <v>0</v>
      </c>
    </row>
    <row r="110" spans="1:16" x14ac:dyDescent="0.3">
      <c r="A110" s="54" t="s">
        <v>147</v>
      </c>
      <c r="D110" s="63"/>
      <c r="E110" s="63"/>
      <c r="F110" s="63"/>
      <c r="G110" s="63"/>
      <c r="H110" s="63"/>
      <c r="I110" s="63"/>
      <c r="L110" s="63"/>
      <c r="M110" s="63"/>
      <c r="N110" s="63">
        <v>0</v>
      </c>
      <c r="O110" s="63">
        <v>0</v>
      </c>
      <c r="P110" s="63">
        <v>0</v>
      </c>
    </row>
    <row r="111" spans="1:16" x14ac:dyDescent="0.3">
      <c r="A111" s="54" t="s">
        <v>147</v>
      </c>
      <c r="D111" s="63"/>
      <c r="E111" s="63"/>
      <c r="F111" s="63"/>
      <c r="G111" s="63"/>
      <c r="H111" s="63"/>
      <c r="I111" s="63"/>
      <c r="L111" s="63"/>
      <c r="M111" s="63"/>
      <c r="N111" s="63">
        <v>0</v>
      </c>
      <c r="O111" s="63">
        <v>0</v>
      </c>
      <c r="P111" s="63">
        <v>0</v>
      </c>
    </row>
    <row r="112" spans="1:16" x14ac:dyDescent="0.3">
      <c r="A112" s="54" t="s">
        <v>147</v>
      </c>
      <c r="D112" s="63"/>
      <c r="E112" s="63"/>
      <c r="F112" s="63"/>
      <c r="G112" s="63"/>
      <c r="H112" s="63"/>
      <c r="I112" s="63"/>
      <c r="L112" s="63"/>
      <c r="M112" s="63"/>
      <c r="N112" s="63">
        <v>0</v>
      </c>
      <c r="O112" s="63">
        <v>0</v>
      </c>
      <c r="P112" s="63">
        <v>0</v>
      </c>
    </row>
    <row r="113" spans="1:16" x14ac:dyDescent="0.3">
      <c r="A113" s="54" t="s">
        <v>147</v>
      </c>
      <c r="D113" s="63"/>
      <c r="E113" s="63"/>
      <c r="F113" s="63"/>
      <c r="G113" s="63"/>
      <c r="H113" s="63"/>
      <c r="I113" s="63"/>
      <c r="L113" s="63"/>
      <c r="M113" s="63"/>
      <c r="N113" s="63">
        <v>0</v>
      </c>
      <c r="O113" s="63">
        <v>0</v>
      </c>
      <c r="P113" s="63">
        <v>0</v>
      </c>
    </row>
    <row r="114" spans="1:16" x14ac:dyDescent="0.3">
      <c r="A114" s="54" t="s">
        <v>147</v>
      </c>
      <c r="D114" s="63"/>
      <c r="E114" s="63"/>
      <c r="F114" s="63"/>
      <c r="G114" s="63"/>
      <c r="H114" s="63"/>
      <c r="I114" s="63"/>
      <c r="L114" s="63"/>
      <c r="M114" s="63"/>
      <c r="N114" s="63">
        <v>0</v>
      </c>
      <c r="O114" s="63">
        <v>0</v>
      </c>
      <c r="P114" s="63">
        <v>0</v>
      </c>
    </row>
    <row r="115" spans="1:16" x14ac:dyDescent="0.3">
      <c r="A115" s="54" t="s">
        <v>147</v>
      </c>
      <c r="D115" s="63"/>
      <c r="E115" s="63"/>
      <c r="F115" s="63"/>
      <c r="G115" s="63"/>
      <c r="H115" s="63"/>
      <c r="I115" s="63"/>
      <c r="L115" s="63"/>
      <c r="M115" s="63"/>
      <c r="N115" s="63">
        <v>0</v>
      </c>
      <c r="O115" s="63">
        <v>0</v>
      </c>
      <c r="P115" s="63">
        <v>0</v>
      </c>
    </row>
    <row r="116" spans="1:16" x14ac:dyDescent="0.3">
      <c r="A116" s="54" t="s">
        <v>147</v>
      </c>
      <c r="D116" s="63"/>
      <c r="E116" s="63"/>
      <c r="F116" s="63"/>
      <c r="G116" s="63"/>
      <c r="H116" s="63"/>
      <c r="I116" s="63"/>
      <c r="L116" s="63"/>
      <c r="M116" s="63"/>
      <c r="N116" s="63">
        <v>0</v>
      </c>
      <c r="O116" s="63">
        <v>0</v>
      </c>
      <c r="P116" s="63">
        <v>0</v>
      </c>
    </row>
    <row r="117" spans="1:16" x14ac:dyDescent="0.3">
      <c r="A117" s="54" t="s">
        <v>147</v>
      </c>
      <c r="D117" s="63"/>
      <c r="E117" s="63"/>
      <c r="F117" s="63"/>
      <c r="G117" s="63"/>
      <c r="H117" s="63"/>
      <c r="I117" s="63"/>
      <c r="L117" s="63"/>
      <c r="M117" s="63"/>
      <c r="N117" s="63">
        <v>0</v>
      </c>
      <c r="O117" s="63">
        <v>0</v>
      </c>
      <c r="P117" s="63">
        <v>0</v>
      </c>
    </row>
    <row r="118" spans="1:16" x14ac:dyDescent="0.3">
      <c r="A118" s="54" t="s">
        <v>147</v>
      </c>
      <c r="D118" s="63"/>
      <c r="E118" s="63"/>
      <c r="F118" s="63"/>
      <c r="G118" s="63"/>
      <c r="H118" s="63"/>
      <c r="I118" s="63"/>
      <c r="L118" s="63"/>
      <c r="M118" s="63"/>
      <c r="N118" s="63">
        <v>0</v>
      </c>
      <c r="O118" s="63">
        <v>0</v>
      </c>
      <c r="P118" s="63">
        <v>0</v>
      </c>
    </row>
    <row r="119" spans="1:16" x14ac:dyDescent="0.3">
      <c r="A119" s="54" t="s">
        <v>147</v>
      </c>
      <c r="D119" s="63"/>
      <c r="E119" s="63"/>
      <c r="F119" s="63"/>
      <c r="G119" s="63"/>
      <c r="H119" s="63"/>
      <c r="I119" s="63"/>
      <c r="L119" s="63"/>
      <c r="M119" s="63"/>
      <c r="N119" s="63">
        <v>0</v>
      </c>
      <c r="O119" s="63">
        <v>0</v>
      </c>
      <c r="P119" s="63">
        <v>0</v>
      </c>
    </row>
    <row r="120" spans="1:16" x14ac:dyDescent="0.3">
      <c r="A120" s="54" t="s">
        <v>147</v>
      </c>
      <c r="D120" s="63"/>
      <c r="E120" s="63"/>
      <c r="F120" s="63"/>
      <c r="G120" s="63"/>
      <c r="H120" s="63"/>
      <c r="I120" s="63"/>
      <c r="L120" s="63"/>
      <c r="M120" s="63"/>
      <c r="N120" s="63">
        <v>0</v>
      </c>
      <c r="O120" s="63">
        <v>0</v>
      </c>
      <c r="P120" s="63">
        <v>0</v>
      </c>
    </row>
    <row r="121" spans="1:16" x14ac:dyDescent="0.3">
      <c r="A121" s="54" t="s">
        <v>147</v>
      </c>
      <c r="D121" s="63"/>
      <c r="E121" s="63"/>
      <c r="F121" s="63"/>
      <c r="G121" s="63"/>
      <c r="H121" s="63"/>
      <c r="I121" s="63"/>
      <c r="L121" s="63"/>
      <c r="M121" s="63"/>
      <c r="N121" s="63">
        <v>0</v>
      </c>
      <c r="O121" s="63">
        <v>0</v>
      </c>
      <c r="P121" s="63">
        <v>0</v>
      </c>
    </row>
    <row r="122" spans="1:16" x14ac:dyDescent="0.3">
      <c r="A122" s="54" t="s">
        <v>147</v>
      </c>
      <c r="D122" s="63"/>
      <c r="E122" s="63"/>
      <c r="F122" s="63"/>
      <c r="G122" s="63"/>
      <c r="H122" s="63"/>
      <c r="I122" s="63"/>
      <c r="L122" s="63"/>
      <c r="M122" s="63"/>
      <c r="N122" s="63">
        <v>0</v>
      </c>
      <c r="O122" s="63">
        <v>0</v>
      </c>
      <c r="P122" s="63">
        <v>0</v>
      </c>
    </row>
    <row r="123" spans="1:16" x14ac:dyDescent="0.3">
      <c r="A123" s="54" t="s">
        <v>147</v>
      </c>
      <c r="D123" s="63"/>
      <c r="E123" s="63"/>
      <c r="F123" s="63"/>
      <c r="G123" s="63"/>
      <c r="H123" s="63"/>
      <c r="I123" s="63"/>
      <c r="L123" s="63"/>
      <c r="M123" s="63"/>
      <c r="N123" s="63">
        <v>0</v>
      </c>
      <c r="O123" s="63">
        <v>0</v>
      </c>
      <c r="P123" s="63">
        <v>0</v>
      </c>
    </row>
    <row r="124" spans="1:16" x14ac:dyDescent="0.3">
      <c r="A124" s="54" t="s">
        <v>147</v>
      </c>
      <c r="D124" s="63"/>
      <c r="E124" s="63"/>
      <c r="F124" s="63"/>
      <c r="G124" s="63"/>
      <c r="H124" s="63"/>
      <c r="I124" s="63"/>
      <c r="L124" s="63"/>
      <c r="M124" s="63"/>
      <c r="N124" s="63">
        <v>0</v>
      </c>
      <c r="O124" s="63">
        <v>0</v>
      </c>
      <c r="P124" s="63">
        <v>0</v>
      </c>
    </row>
    <row r="125" spans="1:16" x14ac:dyDescent="0.3">
      <c r="A125" s="54" t="s">
        <v>147</v>
      </c>
      <c r="D125" s="63"/>
      <c r="E125" s="63"/>
      <c r="F125" s="63"/>
      <c r="G125" s="63"/>
      <c r="H125" s="63"/>
      <c r="I125" s="63"/>
      <c r="L125" s="63"/>
      <c r="M125" s="63"/>
      <c r="N125" s="63">
        <v>0</v>
      </c>
      <c r="O125" s="63">
        <v>0</v>
      </c>
      <c r="P125" s="63">
        <v>0</v>
      </c>
    </row>
    <row r="126" spans="1:16" x14ac:dyDescent="0.3">
      <c r="A126" s="54" t="s">
        <v>147</v>
      </c>
      <c r="D126" s="63"/>
      <c r="E126" s="63"/>
      <c r="F126" s="63"/>
      <c r="G126" s="63"/>
      <c r="H126" s="63"/>
      <c r="I126" s="63"/>
      <c r="L126" s="63"/>
      <c r="M126" s="63"/>
      <c r="N126" s="63">
        <v>0</v>
      </c>
      <c r="O126" s="63">
        <v>0</v>
      </c>
      <c r="P126" s="63">
        <v>0</v>
      </c>
    </row>
    <row r="127" spans="1:16" x14ac:dyDescent="0.3">
      <c r="A127" s="54" t="s">
        <v>147</v>
      </c>
      <c r="D127" s="63"/>
      <c r="E127" s="63"/>
      <c r="F127" s="63"/>
      <c r="G127" s="63"/>
      <c r="H127" s="63"/>
      <c r="I127" s="63"/>
      <c r="L127" s="63"/>
      <c r="M127" s="63"/>
      <c r="N127" s="63">
        <v>0</v>
      </c>
      <c r="O127" s="63">
        <v>0</v>
      </c>
      <c r="P127" s="63">
        <v>0</v>
      </c>
    </row>
  </sheetData>
  <autoFilter ref="A3:Y127" xr:uid="{A9881B34-B31C-483F-A8F5-42FAAE8CFADC}"/>
  <pageMargins left="0.7" right="0.7" top="0.75" bottom="0.75" header="0.3" footer="0.3"/>
  <pageSetup paperSize="9" orientation="portrait" r:id="rId1"/>
</worksheet>
</file>

<file path=docMetadata/LabelInfo.xml><?xml version="1.0" encoding="utf-8"?>
<clbl:labelList xmlns:clbl="http://schemas.microsoft.com/office/2020/mipLabelMetadata">
  <clbl:label id="{beb21d21-9938-4ab8-bb7d-321daa53b3ce}" enabled="1" method="Standard" siteId="{da7cd86b-2037-41c5-9ffe-1c010686ff18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4</vt:i4>
      </vt:variant>
    </vt:vector>
  </HeadingPairs>
  <TitlesOfParts>
    <vt:vector size="15" baseType="lpstr">
      <vt:lpstr>Contents</vt:lpstr>
      <vt:lpstr>Snapshots</vt:lpstr>
      <vt:lpstr>1.FinancialPosition</vt:lpstr>
      <vt:lpstr>2.FinancialPosition-Comparison</vt:lpstr>
      <vt:lpstr>3.Profit or loss statement</vt:lpstr>
      <vt:lpstr>4.Financial ratios</vt:lpstr>
      <vt:lpstr>Charts</vt:lpstr>
      <vt:lpstr>EBIT-EBITDA</vt:lpstr>
      <vt:lpstr>Data_Interim</vt:lpstr>
      <vt:lpstr>Data_Annual_BS</vt:lpstr>
      <vt:lpstr>hiddenPage</vt:lpstr>
      <vt:lpstr>List1</vt:lpstr>
      <vt:lpstr>List2</vt:lpstr>
      <vt:lpstr>List3</vt:lpstr>
      <vt:lpstr>List5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2021-11-12T16:04:18Z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eb21d21-9938-4ab8-bb7d-321daa53b3ce_Enabled">
    <vt:lpwstr>True</vt:lpwstr>
  </property>
  <property fmtid="{D5CDD505-2E9C-101B-9397-08002B2CF9AE}" pid="3" name="MSIP_Label_beb21d21-9938-4ab8-bb7d-321daa53b3ce_SiteId">
    <vt:lpwstr>da7cd86b-2037-41c5-9ffe-1c010686ff18</vt:lpwstr>
  </property>
  <property fmtid="{D5CDD505-2E9C-101B-9397-08002B2CF9AE}" pid="4" name="MSIP_Label_beb21d21-9938-4ab8-bb7d-321daa53b3ce_Owner">
    <vt:lpwstr>adrian.coman@romcarbon.com</vt:lpwstr>
  </property>
  <property fmtid="{D5CDD505-2E9C-101B-9397-08002B2CF9AE}" pid="5" name="MSIP_Label_beb21d21-9938-4ab8-bb7d-321daa53b3ce_SetDate">
    <vt:lpwstr>2020-05-09T11:05:42.1839853Z</vt:lpwstr>
  </property>
  <property fmtid="{D5CDD505-2E9C-101B-9397-08002B2CF9AE}" pid="6" name="MSIP_Label_beb21d21-9938-4ab8-bb7d-321daa53b3ce_Name">
    <vt:lpwstr>General</vt:lpwstr>
  </property>
  <property fmtid="{D5CDD505-2E9C-101B-9397-08002B2CF9AE}" pid="7" name="MSIP_Label_beb21d21-9938-4ab8-bb7d-321daa53b3ce_Application">
    <vt:lpwstr>Microsoft Azure Information Protection</vt:lpwstr>
  </property>
  <property fmtid="{D5CDD505-2E9C-101B-9397-08002B2CF9AE}" pid="8" name="MSIP_Label_beb21d21-9938-4ab8-bb7d-321daa53b3ce_ActionId">
    <vt:lpwstr>5034ac4a-a9c2-459f-9488-9c99d212010b</vt:lpwstr>
  </property>
  <property fmtid="{D5CDD505-2E9C-101B-9397-08002B2CF9AE}" pid="9" name="MSIP_Label_beb21d21-9938-4ab8-bb7d-321daa53b3ce_Extended_MSFT_Method">
    <vt:lpwstr>Automatic</vt:lpwstr>
  </property>
  <property fmtid="{D5CDD505-2E9C-101B-9397-08002B2CF9AE}" pid="10" name="Sensitivity">
    <vt:lpwstr>General</vt:lpwstr>
  </property>
</Properties>
</file>