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150" documentId="8_{E2DE8E45-FB70-4D90-92AA-1D1E97EE3964}" xr6:coauthVersionLast="47" xr6:coauthVersionMax="47" xr10:uidLastSave="{B48D37E3-29E9-43E5-B2EC-4432715CDCA2}"/>
  <bookViews>
    <workbookView xWindow="-108" yWindow="-108" windowWidth="23256" windowHeight="12576" tabRatio="857" xr2:uid="{00000000-000D-0000-FFFF-FFFF00000000}"/>
  </bookViews>
  <sheets>
    <sheet name="Contents" sheetId="6" r:id="rId1"/>
    <sheet name="Snapshots" sheetId="8" r:id="rId2"/>
    <sheet name="1.FinancialPosition" sheetId="1" r:id="rId3"/>
    <sheet name="2.FinancialPosition-Comparison" sheetId="15" r:id="rId4"/>
    <sheet name="3.Profit or loss statement" sheetId="2" r:id="rId5"/>
    <sheet name="4.Statement of Cash-Flow" sheetId="19" r:id="rId6"/>
    <sheet name="5.Financial ratios" sheetId="3" r:id="rId7"/>
    <sheet name="Charts" sheetId="9" r:id="rId8"/>
    <sheet name="EBIT-EBITDA" sheetId="5" r:id="rId9"/>
    <sheet name="Data_Interim" sheetId="11" state="hidden" r:id="rId10"/>
    <sheet name="Data_Annual_BS" sheetId="14" state="hidden" r:id="rId11"/>
    <sheet name="hiddenPage" sheetId="10" state="hidden" r:id="rId12"/>
  </sheets>
  <definedNames>
    <definedName name="_xlnm._FilterDatabase" localSheetId="10" hidden="1">Data_Annual_BS!$A$3:$D$207</definedName>
    <definedName name="_xlnm._FilterDatabase" localSheetId="9" hidden="1">Data_Interim!$A$3:$Y$127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8" l="1"/>
  <c r="C43" i="19" l="1"/>
  <c r="E43" i="19"/>
  <c r="D43" i="19"/>
  <c r="E37" i="19"/>
  <c r="D37" i="19"/>
  <c r="E24" i="19"/>
  <c r="E28" i="19" s="1"/>
  <c r="D24" i="19"/>
  <c r="D28" i="19" s="1"/>
  <c r="D44" i="19" l="1"/>
  <c r="D46" i="19" s="1"/>
  <c r="D48" i="19" s="1"/>
  <c r="D52" i="19" s="1"/>
  <c r="E44" i="19"/>
  <c r="E46" i="19" s="1"/>
  <c r="E48" i="19" s="1"/>
  <c r="E52" i="19" s="1"/>
  <c r="C37" i="19"/>
  <c r="C24" i="19"/>
  <c r="C28" i="19" s="1"/>
  <c r="C44" i="19" l="1"/>
  <c r="C46" i="19" s="1"/>
  <c r="C48" i="19" s="1"/>
  <c r="C52" i="19" s="1"/>
  <c r="A48" i="10" l="1"/>
  <c r="E10" i="8"/>
  <c r="H10" i="8" s="1"/>
  <c r="D10" i="8"/>
  <c r="C10" i="8"/>
  <c r="K1" i="10"/>
  <c r="D24" i="10"/>
  <c r="F10" i="8" l="1"/>
  <c r="G10" i="8"/>
  <c r="AG3" i="10"/>
  <c r="A16" i="10" s="1"/>
  <c r="A46" i="10"/>
  <c r="E9" i="8"/>
  <c r="D9" i="8"/>
  <c r="D46" i="10" l="1"/>
  <c r="E46" i="10"/>
  <c r="Q6" i="15" l="1"/>
  <c r="C6" i="15"/>
  <c r="O26" i="15"/>
  <c r="H26" i="15"/>
  <c r="Q25" i="15"/>
  <c r="J25" i="15"/>
  <c r="C25" i="15"/>
  <c r="Q9" i="15"/>
  <c r="J9" i="15"/>
  <c r="C9" i="15"/>
  <c r="Q8" i="15"/>
  <c r="J8" i="15"/>
  <c r="C8" i="15"/>
  <c r="Q7" i="15"/>
  <c r="J7" i="15"/>
  <c r="C7" i="15"/>
  <c r="J6" i="15"/>
  <c r="C22" i="2"/>
  <c r="D24" i="2"/>
  <c r="E24" i="2" l="1"/>
  <c r="F24" i="2" s="1"/>
  <c r="E22" i="2"/>
  <c r="C24" i="2"/>
  <c r="D22" i="2"/>
  <c r="F22" i="2" l="1"/>
  <c r="G24" i="2"/>
  <c r="H22" i="2"/>
  <c r="G22" i="2"/>
  <c r="H24" i="2"/>
  <c r="A12" i="10" l="1"/>
  <c r="I9" i="10"/>
  <c r="D7" i="10" l="1"/>
  <c r="A13" i="10"/>
  <c r="AE24" i="10"/>
  <c r="AE25" i="10"/>
  <c r="AE26" i="10"/>
  <c r="AE27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22" i="10"/>
  <c r="AE23" i="10"/>
  <c r="D23" i="2" l="1"/>
  <c r="C23" i="2"/>
  <c r="E23" i="2"/>
  <c r="D19" i="2"/>
  <c r="C19" i="2"/>
  <c r="E19" i="2"/>
  <c r="E20" i="2"/>
  <c r="D20" i="2"/>
  <c r="C20" i="2"/>
  <c r="AE3" i="10"/>
  <c r="D21" i="2" l="1"/>
  <c r="D4" i="5" s="1"/>
  <c r="C21" i="2"/>
  <c r="E21" i="2"/>
  <c r="H23" i="2"/>
  <c r="F23" i="2"/>
  <c r="G23" i="2"/>
  <c r="F20" i="2"/>
  <c r="G20" i="2"/>
  <c r="H20" i="2"/>
  <c r="F19" i="2"/>
  <c r="H19" i="2"/>
  <c r="G19" i="2"/>
  <c r="D8" i="1"/>
  <c r="C8" i="1"/>
  <c r="E8" i="1"/>
  <c r="E9" i="1"/>
  <c r="D9" i="1"/>
  <c r="C9" i="1"/>
  <c r="D25" i="15"/>
  <c r="R25" i="15"/>
  <c r="K25" i="15"/>
  <c r="E25" i="1"/>
  <c r="C25" i="1"/>
  <c r="D25" i="1"/>
  <c r="C10" i="1"/>
  <c r="D10" i="1"/>
  <c r="E10" i="1"/>
  <c r="R6" i="15"/>
  <c r="E17" i="2"/>
  <c r="H9" i="8"/>
  <c r="C17" i="2"/>
  <c r="C5" i="5" s="1"/>
  <c r="D17" i="2"/>
  <c r="A25" i="10"/>
  <c r="D3" i="10"/>
  <c r="D25" i="2" l="1"/>
  <c r="E25" i="2"/>
  <c r="F25" i="2" s="1"/>
  <c r="E4" i="5"/>
  <c r="C25" i="2"/>
  <c r="C4" i="5"/>
  <c r="F21" i="2"/>
  <c r="G21" i="2"/>
  <c r="H21" i="2"/>
  <c r="H25" i="2"/>
  <c r="G25" i="2"/>
  <c r="R9" i="15"/>
  <c r="E7" i="1"/>
  <c r="U25" i="15"/>
  <c r="S25" i="15"/>
  <c r="T25" i="15"/>
  <c r="R7" i="15"/>
  <c r="E5" i="1"/>
  <c r="G25" i="15"/>
  <c r="F25" i="15"/>
  <c r="E25" i="15"/>
  <c r="C5" i="1"/>
  <c r="D7" i="15"/>
  <c r="C6" i="1"/>
  <c r="D8" i="15"/>
  <c r="I9" i="1"/>
  <c r="H9" i="1"/>
  <c r="G9" i="1"/>
  <c r="N25" i="15"/>
  <c r="L25" i="15"/>
  <c r="M25" i="15"/>
  <c r="I10" i="1"/>
  <c r="G10" i="1"/>
  <c r="H10" i="1"/>
  <c r="R8" i="15"/>
  <c r="E6" i="1"/>
  <c r="D7" i="1"/>
  <c r="K9" i="15"/>
  <c r="I25" i="1"/>
  <c r="H25" i="1"/>
  <c r="G25" i="1"/>
  <c r="G8" i="1"/>
  <c r="I8" i="1"/>
  <c r="H8" i="1"/>
  <c r="D5" i="1"/>
  <c r="K7" i="15"/>
  <c r="K8" i="15"/>
  <c r="D6" i="1"/>
  <c r="D9" i="15"/>
  <c r="C7" i="1"/>
  <c r="D35" i="2"/>
  <c r="F9" i="8"/>
  <c r="G9" i="8"/>
  <c r="D35" i="15"/>
  <c r="D44" i="2"/>
  <c r="D12" i="15"/>
  <c r="D16" i="15"/>
  <c r="C4" i="1"/>
  <c r="E26" i="2"/>
  <c r="R19" i="15"/>
  <c r="D5" i="5"/>
  <c r="D26" i="2"/>
  <c r="R16" i="15"/>
  <c r="E5" i="5"/>
  <c r="D6" i="5"/>
  <c r="E6" i="5"/>
  <c r="E44" i="2"/>
  <c r="R27" i="15"/>
  <c r="D29" i="15"/>
  <c r="D30" i="15"/>
  <c r="R10" i="15"/>
  <c r="E37" i="2"/>
  <c r="C37" i="2"/>
  <c r="E33" i="2"/>
  <c r="R23" i="15"/>
  <c r="D34" i="15"/>
  <c r="D10" i="15"/>
  <c r="D27" i="15"/>
  <c r="R29" i="15"/>
  <c r="D13" i="2"/>
  <c r="D36" i="15"/>
  <c r="R11" i="15"/>
  <c r="E50" i="2"/>
  <c r="R12" i="15"/>
  <c r="C9" i="5"/>
  <c r="R32" i="15"/>
  <c r="E9" i="2"/>
  <c r="D24" i="15"/>
  <c r="D14" i="15"/>
  <c r="D18" i="15"/>
  <c r="C7" i="2"/>
  <c r="C15" i="2"/>
  <c r="C7" i="8" s="1"/>
  <c r="C34" i="2"/>
  <c r="C51" i="2"/>
  <c r="R24" i="15"/>
  <c r="E9" i="5"/>
  <c r="R14" i="15"/>
  <c r="R31" i="15"/>
  <c r="D11" i="15"/>
  <c r="C50" i="2"/>
  <c r="R18" i="15"/>
  <c r="R34" i="15"/>
  <c r="R17" i="15"/>
  <c r="D19" i="15"/>
  <c r="R30" i="15"/>
  <c r="D17" i="15"/>
  <c r="E36" i="2"/>
  <c r="D32" i="15"/>
  <c r="D9" i="2"/>
  <c r="K17" i="15"/>
  <c r="C21" i="1"/>
  <c r="D23" i="15"/>
  <c r="K12" i="15"/>
  <c r="K23" i="15"/>
  <c r="K29" i="15"/>
  <c r="K24" i="15"/>
  <c r="K19" i="15"/>
  <c r="K14" i="15"/>
  <c r="K31" i="15"/>
  <c r="R15" i="15"/>
  <c r="R22" i="15"/>
  <c r="K36" i="15"/>
  <c r="K18" i="15"/>
  <c r="K34" i="15"/>
  <c r="K15" i="15"/>
  <c r="D22" i="15"/>
  <c r="K16" i="15"/>
  <c r="K6" i="15"/>
  <c r="K35" i="15"/>
  <c r="K22" i="15"/>
  <c r="K32" i="15"/>
  <c r="E34" i="1"/>
  <c r="R36" i="15"/>
  <c r="K30" i="15"/>
  <c r="K11" i="15"/>
  <c r="R35" i="15"/>
  <c r="K10" i="15"/>
  <c r="K27" i="15"/>
  <c r="C29" i="1"/>
  <c r="D31" i="15"/>
  <c r="D15" i="15"/>
  <c r="D6" i="15"/>
  <c r="C8" i="5"/>
  <c r="D50" i="2"/>
  <c r="C6" i="5"/>
  <c r="D9" i="10"/>
  <c r="L7" i="10" s="1"/>
  <c r="D14" i="10"/>
  <c r="D9" i="5"/>
  <c r="D51" i="2"/>
  <c r="E51" i="2"/>
  <c r="D8" i="5"/>
  <c r="E8" i="5"/>
  <c r="E15" i="2"/>
  <c r="E7" i="8" s="1"/>
  <c r="D15" i="1"/>
  <c r="C43" i="2"/>
  <c r="D30" i="1"/>
  <c r="C36" i="2"/>
  <c r="C34" i="1"/>
  <c r="C16" i="1"/>
  <c r="C11" i="2"/>
  <c r="C14" i="1"/>
  <c r="E4" i="2"/>
  <c r="D4" i="2"/>
  <c r="E22" i="1"/>
  <c r="C44" i="2"/>
  <c r="C27" i="1"/>
  <c r="D4" i="1"/>
  <c r="C15" i="1"/>
  <c r="C10" i="2"/>
  <c r="D14" i="2"/>
  <c r="C35" i="2"/>
  <c r="E13" i="2"/>
  <c r="D22" i="1"/>
  <c r="E6" i="2"/>
  <c r="C26" i="2"/>
  <c r="E14" i="2"/>
  <c r="C33" i="2"/>
  <c r="C28" i="1"/>
  <c r="C6" i="2"/>
  <c r="E30" i="1"/>
  <c r="D5" i="2"/>
  <c r="D21" i="1"/>
  <c r="D27" i="1"/>
  <c r="E4" i="1"/>
  <c r="C9" i="2"/>
  <c r="E21" i="1"/>
  <c r="D34" i="1"/>
  <c r="D14" i="1"/>
  <c r="E5" i="2"/>
  <c r="D10" i="2"/>
  <c r="D29" i="1"/>
  <c r="D7" i="2"/>
  <c r="D34" i="2"/>
  <c r="E14" i="1"/>
  <c r="E27" i="1"/>
  <c r="C5" i="2"/>
  <c r="E15" i="1"/>
  <c r="C22" i="1"/>
  <c r="D28" i="1"/>
  <c r="D6" i="2"/>
  <c r="E10" i="2"/>
  <c r="C30" i="1"/>
  <c r="C13" i="2"/>
  <c r="D36" i="2"/>
  <c r="D33" i="2"/>
  <c r="E35" i="2"/>
  <c r="E12" i="1"/>
  <c r="D16" i="1"/>
  <c r="E29" i="1"/>
  <c r="E7" i="2"/>
  <c r="D11" i="2"/>
  <c r="E34" i="2"/>
  <c r="D43" i="2"/>
  <c r="E28" i="1"/>
  <c r="C14" i="2"/>
  <c r="D37" i="2"/>
  <c r="D33" i="1"/>
  <c r="C4" i="2"/>
  <c r="E16" i="1"/>
  <c r="E11" i="2"/>
  <c r="D15" i="2"/>
  <c r="D7" i="8" s="1"/>
  <c r="E43" i="2"/>
  <c r="C17" i="1"/>
  <c r="E33" i="1"/>
  <c r="E32" i="1"/>
  <c r="C13" i="1"/>
  <c r="E8" i="2"/>
  <c r="C27" i="2"/>
  <c r="D17" i="1"/>
  <c r="C12" i="1"/>
  <c r="D23" i="1"/>
  <c r="C32" i="1"/>
  <c r="E13" i="1"/>
  <c r="E20" i="1"/>
  <c r="D8" i="2"/>
  <c r="D27" i="2"/>
  <c r="E17" i="1"/>
  <c r="C33" i="1"/>
  <c r="D12" i="1"/>
  <c r="C23" i="1"/>
  <c r="E23" i="1"/>
  <c r="D13" i="1"/>
  <c r="C20" i="1"/>
  <c r="E27" i="2"/>
  <c r="D32" i="1"/>
  <c r="D20" i="1"/>
  <c r="C8" i="2"/>
  <c r="G7" i="8" l="1"/>
  <c r="F7" i="8"/>
  <c r="K26" i="15"/>
  <c r="D24" i="1"/>
  <c r="D26" i="1" s="1"/>
  <c r="E24" i="1"/>
  <c r="E26" i="1" s="1"/>
  <c r="C24" i="1"/>
  <c r="C26" i="1" s="1"/>
  <c r="T8" i="15"/>
  <c r="U8" i="15"/>
  <c r="S8" i="15"/>
  <c r="E9" i="15"/>
  <c r="G9" i="15"/>
  <c r="F9" i="15"/>
  <c r="G5" i="1"/>
  <c r="H5" i="1"/>
  <c r="I5" i="1"/>
  <c r="G8" i="15"/>
  <c r="F8" i="15"/>
  <c r="E8" i="15"/>
  <c r="U7" i="15"/>
  <c r="T7" i="15"/>
  <c r="S7" i="15"/>
  <c r="R26" i="15"/>
  <c r="L8" i="15"/>
  <c r="N8" i="15"/>
  <c r="M8" i="15"/>
  <c r="N7" i="15"/>
  <c r="M7" i="15"/>
  <c r="L7" i="15"/>
  <c r="G7" i="15"/>
  <c r="E7" i="15"/>
  <c r="F7" i="15"/>
  <c r="M9" i="15"/>
  <c r="L9" i="15"/>
  <c r="N9" i="15"/>
  <c r="D26" i="15"/>
  <c r="I7" i="1"/>
  <c r="H7" i="1"/>
  <c r="G7" i="1"/>
  <c r="G6" i="1"/>
  <c r="I6" i="1"/>
  <c r="H6" i="1"/>
  <c r="U9" i="15"/>
  <c r="S9" i="15"/>
  <c r="T9" i="15"/>
  <c r="C12" i="2"/>
  <c r="C16" i="2" s="1"/>
  <c r="D12" i="2"/>
  <c r="D16" i="2" s="1"/>
  <c r="E12" i="2"/>
  <c r="E16" i="2" s="1"/>
  <c r="I34" i="1"/>
  <c r="I29" i="1"/>
  <c r="I23" i="1"/>
  <c r="I28" i="1"/>
  <c r="I16" i="1"/>
  <c r="I12" i="1"/>
  <c r="I32" i="1"/>
  <c r="I27" i="1"/>
  <c r="I14" i="1"/>
  <c r="I21" i="1"/>
  <c r="I30" i="1"/>
  <c r="I22" i="1"/>
  <c r="I4" i="1"/>
  <c r="I15" i="1"/>
  <c r="I13" i="1"/>
  <c r="I33" i="1"/>
  <c r="I20" i="1"/>
  <c r="I17" i="1"/>
  <c r="D11" i="1"/>
  <c r="C38" i="2"/>
  <c r="E38" i="2"/>
  <c r="E52" i="2"/>
  <c r="E6" i="3" s="1"/>
  <c r="F50" i="2"/>
  <c r="D38" i="2"/>
  <c r="R13" i="15"/>
  <c r="C52" i="2"/>
  <c r="C6" i="3" s="1"/>
  <c r="G50" i="2"/>
  <c r="H50" i="2"/>
  <c r="R33" i="15"/>
  <c r="R37" i="15"/>
  <c r="D13" i="15"/>
  <c r="D33" i="15"/>
  <c r="K37" i="15"/>
  <c r="K33" i="15"/>
  <c r="K13" i="15"/>
  <c r="D37" i="15"/>
  <c r="K20" i="15"/>
  <c r="D20" i="15"/>
  <c r="R20" i="15"/>
  <c r="D52" i="2"/>
  <c r="D6" i="3" s="1"/>
  <c r="E3" i="10"/>
  <c r="H51" i="2"/>
  <c r="F51" i="2"/>
  <c r="G51" i="2"/>
  <c r="C11" i="1"/>
  <c r="H34" i="2"/>
  <c r="F44" i="2"/>
  <c r="F43" i="2"/>
  <c r="F37" i="2"/>
  <c r="F36" i="2"/>
  <c r="F35" i="2"/>
  <c r="F34" i="2"/>
  <c r="F27" i="2"/>
  <c r="F26" i="2"/>
  <c r="F17" i="2"/>
  <c r="F15" i="2"/>
  <c r="F14" i="2"/>
  <c r="F13" i="2"/>
  <c r="F11" i="2"/>
  <c r="F10" i="2"/>
  <c r="F9" i="2"/>
  <c r="F8" i="2"/>
  <c r="F7" i="2"/>
  <c r="F6" i="2"/>
  <c r="F5" i="2"/>
  <c r="F4" i="2"/>
  <c r="G24" i="1" l="1"/>
  <c r="I24" i="1"/>
  <c r="K28" i="15"/>
  <c r="H24" i="1"/>
  <c r="D28" i="15"/>
  <c r="R28" i="15"/>
  <c r="F12" i="2"/>
  <c r="E39" i="2"/>
  <c r="C39" i="2"/>
  <c r="D39" i="2"/>
  <c r="L51" i="2"/>
  <c r="J32" i="2"/>
  <c r="J49" i="2"/>
  <c r="K51" i="2"/>
  <c r="J51" i="2"/>
  <c r="J50" i="2"/>
  <c r="K50" i="2"/>
  <c r="L50" i="2"/>
  <c r="F52" i="2"/>
  <c r="C3" i="3"/>
  <c r="C15" i="3" s="1"/>
  <c r="R38" i="15"/>
  <c r="H52" i="2"/>
  <c r="D38" i="15"/>
  <c r="K38" i="15"/>
  <c r="R21" i="15"/>
  <c r="D21" i="15"/>
  <c r="G52" i="2"/>
  <c r="K21" i="15"/>
  <c r="E9" i="10"/>
  <c r="L6" i="10" s="1"/>
  <c r="C4" i="8"/>
  <c r="F3" i="10"/>
  <c r="C3" i="5"/>
  <c r="K32" i="2" l="1"/>
  <c r="K49" i="2"/>
  <c r="L52" i="2"/>
  <c r="K52" i="2"/>
  <c r="J52" i="2"/>
  <c r="C30" i="15"/>
  <c r="G30" i="15" s="1"/>
  <c r="C15" i="15"/>
  <c r="G15" i="15" s="1"/>
  <c r="C22" i="15"/>
  <c r="C36" i="15"/>
  <c r="G36" i="15" s="1"/>
  <c r="G6" i="15"/>
  <c r="C34" i="15"/>
  <c r="G34" i="15" s="1"/>
  <c r="C16" i="15"/>
  <c r="G16" i="15" s="1"/>
  <c r="C27" i="15"/>
  <c r="G27" i="15" s="1"/>
  <c r="C10" i="15"/>
  <c r="G10" i="15" s="1"/>
  <c r="C18" i="15"/>
  <c r="G18" i="15" s="1"/>
  <c r="C24" i="15"/>
  <c r="G24" i="15" s="1"/>
  <c r="J24" i="15"/>
  <c r="N24" i="15" s="1"/>
  <c r="D3" i="3"/>
  <c r="D15" i="3" s="1"/>
  <c r="C29" i="15"/>
  <c r="G29" i="15" s="1"/>
  <c r="C14" i="15"/>
  <c r="G14" i="15" s="1"/>
  <c r="C35" i="15"/>
  <c r="G35" i="15" s="1"/>
  <c r="C19" i="15"/>
  <c r="G19" i="15" s="1"/>
  <c r="C11" i="15"/>
  <c r="G11" i="15" s="1"/>
  <c r="C32" i="15"/>
  <c r="G32" i="15" s="1"/>
  <c r="C17" i="15"/>
  <c r="G17" i="15" s="1"/>
  <c r="C23" i="15"/>
  <c r="G23" i="15" s="1"/>
  <c r="C12" i="15"/>
  <c r="G12" i="15" s="1"/>
  <c r="C31" i="15"/>
  <c r="G31" i="15" s="1"/>
  <c r="R39" i="15"/>
  <c r="D39" i="15"/>
  <c r="K39" i="15"/>
  <c r="D4" i="8"/>
  <c r="D3" i="5"/>
  <c r="G3" i="10"/>
  <c r="F9" i="10"/>
  <c r="F15" i="10"/>
  <c r="F14" i="10" s="1"/>
  <c r="C32" i="2"/>
  <c r="C42" i="2" s="1"/>
  <c r="C49" i="2"/>
  <c r="C14" i="10"/>
  <c r="E14" i="10"/>
  <c r="B14" i="10"/>
  <c r="G22" i="15" l="1"/>
  <c r="C26" i="15"/>
  <c r="L5" i="10"/>
  <c r="F45" i="10"/>
  <c r="F12" i="15"/>
  <c r="F11" i="15"/>
  <c r="E6" i="15"/>
  <c r="E31" i="15"/>
  <c r="F30" i="15"/>
  <c r="F35" i="15"/>
  <c r="F14" i="15"/>
  <c r="E29" i="15"/>
  <c r="F27" i="15"/>
  <c r="E17" i="15"/>
  <c r="F34" i="15"/>
  <c r="F24" i="15"/>
  <c r="F36" i="15"/>
  <c r="E18" i="15"/>
  <c r="F15" i="15"/>
  <c r="F3" i="2"/>
  <c r="F49" i="2"/>
  <c r="L32" i="2"/>
  <c r="F42" i="2"/>
  <c r="F32" i="2"/>
  <c r="L49" i="2"/>
  <c r="E27" i="15"/>
  <c r="E34" i="15"/>
  <c r="E15" i="15"/>
  <c r="E10" i="15"/>
  <c r="F10" i="15"/>
  <c r="F17" i="15"/>
  <c r="E19" i="15"/>
  <c r="F19" i="15"/>
  <c r="F18" i="15"/>
  <c r="E22" i="15"/>
  <c r="F31" i="15"/>
  <c r="F22" i="15"/>
  <c r="F29" i="15"/>
  <c r="J27" i="15"/>
  <c r="N27" i="15" s="1"/>
  <c r="E30" i="15"/>
  <c r="J10" i="15"/>
  <c r="N10" i="15" s="1"/>
  <c r="J23" i="15"/>
  <c r="N23" i="15" s="1"/>
  <c r="J17" i="15"/>
  <c r="N17" i="15" s="1"/>
  <c r="J31" i="15"/>
  <c r="N31" i="15" s="1"/>
  <c r="C33" i="15"/>
  <c r="G33" i="15" s="1"/>
  <c r="E36" i="15"/>
  <c r="E11" i="15"/>
  <c r="E16" i="15"/>
  <c r="E14" i="15"/>
  <c r="F16" i="15"/>
  <c r="E24" i="15"/>
  <c r="F32" i="15"/>
  <c r="C20" i="15"/>
  <c r="G20" i="15" s="1"/>
  <c r="E12" i="15"/>
  <c r="E23" i="15"/>
  <c r="J11" i="15"/>
  <c r="N11" i="15" s="1"/>
  <c r="J22" i="15"/>
  <c r="J30" i="15"/>
  <c r="N30" i="15" s="1"/>
  <c r="J36" i="15"/>
  <c r="N36" i="15" s="1"/>
  <c r="F23" i="15"/>
  <c r="J16" i="15"/>
  <c r="N16" i="15" s="1"/>
  <c r="J29" i="15"/>
  <c r="N29" i="15" s="1"/>
  <c r="J14" i="15"/>
  <c r="N14" i="15" s="1"/>
  <c r="J35" i="15"/>
  <c r="N35" i="15" s="1"/>
  <c r="J19" i="15"/>
  <c r="N19" i="15" s="1"/>
  <c r="F6" i="15"/>
  <c r="E32" i="15"/>
  <c r="E35" i="15"/>
  <c r="J32" i="15"/>
  <c r="N32" i="15" s="1"/>
  <c r="N6" i="15"/>
  <c r="J15" i="15"/>
  <c r="N15" i="15" s="1"/>
  <c r="J12" i="15"/>
  <c r="N12" i="15" s="1"/>
  <c r="J34" i="15"/>
  <c r="N34" i="15" s="1"/>
  <c r="J18" i="15"/>
  <c r="N18" i="15" s="1"/>
  <c r="C37" i="15"/>
  <c r="G37" i="15" s="1"/>
  <c r="C13" i="15"/>
  <c r="G13" i="15" s="1"/>
  <c r="E3" i="3"/>
  <c r="E15" i="3" s="1"/>
  <c r="L24" i="15"/>
  <c r="M24" i="15"/>
  <c r="R41" i="15"/>
  <c r="K41" i="15"/>
  <c r="E4" i="8"/>
  <c r="F3" i="1"/>
  <c r="G3" i="1"/>
  <c r="D41" i="15"/>
  <c r="E49" i="2"/>
  <c r="H3" i="10"/>
  <c r="H15" i="10" s="1"/>
  <c r="H14" i="10" s="1"/>
  <c r="E3" i="5"/>
  <c r="G15" i="10"/>
  <c r="G14" i="10" s="1"/>
  <c r="G9" i="10"/>
  <c r="D32" i="2"/>
  <c r="D42" i="2" s="1"/>
  <c r="D49" i="2"/>
  <c r="C28" i="15" l="1"/>
  <c r="G28" i="15" s="1"/>
  <c r="G26" i="15"/>
  <c r="F26" i="15"/>
  <c r="N22" i="15"/>
  <c r="J26" i="15"/>
  <c r="L4" i="10"/>
  <c r="G45" i="10"/>
  <c r="E26" i="15"/>
  <c r="E28" i="15" s="1"/>
  <c r="M10" i="15"/>
  <c r="M6" i="15"/>
  <c r="L11" i="15"/>
  <c r="L12" i="15"/>
  <c r="M14" i="15"/>
  <c r="L30" i="15"/>
  <c r="M32" i="15"/>
  <c r="M29" i="15"/>
  <c r="E33" i="15"/>
  <c r="L18" i="15"/>
  <c r="L27" i="15"/>
  <c r="E37" i="15"/>
  <c r="L34" i="15"/>
  <c r="M16" i="15"/>
  <c r="L31" i="15"/>
  <c r="M17" i="15"/>
  <c r="F28" i="15"/>
  <c r="M23" i="15"/>
  <c r="L23" i="15"/>
  <c r="F13" i="15"/>
  <c r="L35" i="15"/>
  <c r="L17" i="15"/>
  <c r="F33" i="15"/>
  <c r="L14" i="15"/>
  <c r="M27" i="15"/>
  <c r="M31" i="15"/>
  <c r="E20" i="15"/>
  <c r="L10" i="15"/>
  <c r="L22" i="15"/>
  <c r="L29" i="15"/>
  <c r="L36" i="15"/>
  <c r="L19" i="15"/>
  <c r="M19" i="15"/>
  <c r="M11" i="15"/>
  <c r="M34" i="15"/>
  <c r="M30" i="15"/>
  <c r="L6" i="15"/>
  <c r="C21" i="15"/>
  <c r="G21" i="15" s="1"/>
  <c r="M35" i="15"/>
  <c r="M36" i="15"/>
  <c r="F20" i="15"/>
  <c r="L16" i="15"/>
  <c r="M22" i="15"/>
  <c r="L32" i="15"/>
  <c r="J33" i="15"/>
  <c r="N33" i="15" s="1"/>
  <c r="M18" i="15"/>
  <c r="J20" i="15"/>
  <c r="N20" i="15" s="1"/>
  <c r="M15" i="15"/>
  <c r="J37" i="15"/>
  <c r="N37" i="15" s="1"/>
  <c r="E13" i="15"/>
  <c r="F37" i="15"/>
  <c r="J13" i="15"/>
  <c r="N13" i="15" s="1"/>
  <c r="M12" i="15"/>
  <c r="C38" i="15"/>
  <c r="G38" i="15" s="1"/>
  <c r="L15" i="15"/>
  <c r="Q35" i="15"/>
  <c r="U35" i="15" s="1"/>
  <c r="Q30" i="15"/>
  <c r="U30" i="15" s="1"/>
  <c r="Q23" i="15"/>
  <c r="U23" i="15" s="1"/>
  <c r="Q18" i="15"/>
  <c r="U18" i="15" s="1"/>
  <c r="Q14" i="15"/>
  <c r="U14" i="15" s="1"/>
  <c r="U6" i="15"/>
  <c r="Q34" i="15"/>
  <c r="U34" i="15" s="1"/>
  <c r="Q29" i="15"/>
  <c r="U29" i="15" s="1"/>
  <c r="Q22" i="15"/>
  <c r="Q17" i="15"/>
  <c r="U17" i="15" s="1"/>
  <c r="Q12" i="15"/>
  <c r="U12" i="15" s="1"/>
  <c r="Q32" i="15"/>
  <c r="U32" i="15" s="1"/>
  <c r="Q27" i="15"/>
  <c r="U27" i="15" s="1"/>
  <c r="Q16" i="15"/>
  <c r="U16" i="15" s="1"/>
  <c r="Q11" i="15"/>
  <c r="U11" i="15" s="1"/>
  <c r="Q36" i="15"/>
  <c r="U36" i="15" s="1"/>
  <c r="Q31" i="15"/>
  <c r="U31" i="15" s="1"/>
  <c r="Q24" i="15"/>
  <c r="U24" i="15" s="1"/>
  <c r="Q19" i="15"/>
  <c r="U19" i="15" s="1"/>
  <c r="Q15" i="15"/>
  <c r="U15" i="15" s="1"/>
  <c r="Q10" i="15"/>
  <c r="U10" i="15" s="1"/>
  <c r="H9" i="10"/>
  <c r="E32" i="2"/>
  <c r="E42" i="2" s="1"/>
  <c r="E6" i="8"/>
  <c r="E5" i="8"/>
  <c r="E45" i="2"/>
  <c r="H44" i="2"/>
  <c r="G44" i="2"/>
  <c r="H43" i="2"/>
  <c r="G43" i="2"/>
  <c r="L36" i="2"/>
  <c r="H37" i="2"/>
  <c r="G37" i="2"/>
  <c r="H36" i="2"/>
  <c r="G36" i="2"/>
  <c r="H35" i="2"/>
  <c r="G35" i="2"/>
  <c r="G34" i="2"/>
  <c r="G27" i="2"/>
  <c r="G26" i="2"/>
  <c r="H17" i="2"/>
  <c r="G17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11" i="1"/>
  <c r="I11" i="1" s="1"/>
  <c r="E18" i="1"/>
  <c r="H46" i="10" s="1"/>
  <c r="E31" i="1"/>
  <c r="E35" i="1"/>
  <c r="H34" i="1"/>
  <c r="G34" i="1"/>
  <c r="H33" i="1"/>
  <c r="G33" i="1"/>
  <c r="H32" i="1"/>
  <c r="G32" i="1"/>
  <c r="H30" i="1"/>
  <c r="G30" i="1"/>
  <c r="H29" i="1"/>
  <c r="G29" i="1"/>
  <c r="H28" i="1"/>
  <c r="G28" i="1"/>
  <c r="H27" i="1"/>
  <c r="G27" i="1"/>
  <c r="H23" i="1"/>
  <c r="G23" i="1"/>
  <c r="H22" i="1"/>
  <c r="G22" i="1"/>
  <c r="H21" i="1"/>
  <c r="G21" i="1"/>
  <c r="H20" i="1"/>
  <c r="G20" i="1"/>
  <c r="H17" i="1"/>
  <c r="G17" i="1"/>
  <c r="H16" i="1"/>
  <c r="G16" i="1"/>
  <c r="H15" i="1"/>
  <c r="G15" i="1"/>
  <c r="H14" i="1"/>
  <c r="G14" i="1"/>
  <c r="H13" i="1"/>
  <c r="G13" i="1"/>
  <c r="H12" i="1"/>
  <c r="G12" i="1"/>
  <c r="H4" i="1"/>
  <c r="G4" i="1"/>
  <c r="F4" i="8"/>
  <c r="J28" i="15" l="1"/>
  <c r="N28" i="15" s="1"/>
  <c r="M26" i="15"/>
  <c r="N26" i="15"/>
  <c r="U22" i="15"/>
  <c r="Q26" i="15"/>
  <c r="L3" i="10"/>
  <c r="H45" i="10"/>
  <c r="L26" i="15"/>
  <c r="L28" i="15" s="1"/>
  <c r="E11" i="3"/>
  <c r="E18" i="8"/>
  <c r="E46" i="2"/>
  <c r="C39" i="15"/>
  <c r="G39" i="15" s="1"/>
  <c r="M37" i="15"/>
  <c r="M20" i="15"/>
  <c r="M13" i="15"/>
  <c r="E21" i="15"/>
  <c r="L33" i="15"/>
  <c r="F21" i="15"/>
  <c r="M33" i="15"/>
  <c r="E14" i="8"/>
  <c r="E16" i="3"/>
  <c r="L20" i="15"/>
  <c r="J21" i="15"/>
  <c r="N21" i="15" s="1"/>
  <c r="F38" i="15"/>
  <c r="E38" i="15"/>
  <c r="J38" i="15"/>
  <c r="N38" i="15" s="1"/>
  <c r="L13" i="15"/>
  <c r="L37" i="15"/>
  <c r="T24" i="15"/>
  <c r="S24" i="15"/>
  <c r="Q33" i="15"/>
  <c r="U33" i="15" s="1"/>
  <c r="T29" i="15"/>
  <c r="S29" i="15"/>
  <c r="T10" i="15"/>
  <c r="S10" i="15"/>
  <c r="T31" i="15"/>
  <c r="S31" i="15"/>
  <c r="S12" i="15"/>
  <c r="T12" i="15"/>
  <c r="Q37" i="15"/>
  <c r="U37" i="15" s="1"/>
  <c r="T34" i="15"/>
  <c r="S34" i="15"/>
  <c r="T18" i="15"/>
  <c r="S18" i="15"/>
  <c r="S16" i="15"/>
  <c r="T16" i="15"/>
  <c r="S35" i="15"/>
  <c r="T35" i="15"/>
  <c r="S36" i="15"/>
  <c r="T36" i="15"/>
  <c r="T17" i="15"/>
  <c r="S17" i="15"/>
  <c r="T23" i="15"/>
  <c r="S23" i="15"/>
  <c r="Q20" i="15"/>
  <c r="U20" i="15" s="1"/>
  <c r="T14" i="15"/>
  <c r="S14" i="15"/>
  <c r="T15" i="15"/>
  <c r="S15" i="15"/>
  <c r="S27" i="15"/>
  <c r="T27" i="15"/>
  <c r="T19" i="15"/>
  <c r="S19" i="15"/>
  <c r="S11" i="15"/>
  <c r="T11" i="15"/>
  <c r="S32" i="15"/>
  <c r="T32" i="15"/>
  <c r="T22" i="15"/>
  <c r="S22" i="15"/>
  <c r="Q13" i="15"/>
  <c r="U13" i="15" s="1"/>
  <c r="S6" i="15"/>
  <c r="T6" i="15"/>
  <c r="T30" i="15"/>
  <c r="S30" i="15"/>
  <c r="H8" i="10"/>
  <c r="E9" i="3"/>
  <c r="E12" i="3"/>
  <c r="L34" i="2"/>
  <c r="L33" i="2"/>
  <c r="L35" i="2"/>
  <c r="L37" i="2"/>
  <c r="E18" i="2"/>
  <c r="E10" i="3"/>
  <c r="E13" i="8"/>
  <c r="E15" i="8"/>
  <c r="E36" i="1"/>
  <c r="E16" i="8" s="1"/>
  <c r="E19" i="1"/>
  <c r="A24" i="10"/>
  <c r="A26" i="10"/>
  <c r="A33" i="10" s="1"/>
  <c r="M28" i="15" l="1"/>
  <c r="S26" i="15"/>
  <c r="S28" i="15" s="1"/>
  <c r="Q28" i="15"/>
  <c r="U28" i="15" s="1"/>
  <c r="U26" i="15"/>
  <c r="T26" i="15"/>
  <c r="F25" i="1"/>
  <c r="F24" i="1"/>
  <c r="F11" i="1"/>
  <c r="F6" i="1"/>
  <c r="F9" i="1"/>
  <c r="F7" i="1"/>
  <c r="F10" i="1"/>
  <c r="F8" i="1"/>
  <c r="F5" i="1"/>
  <c r="E17" i="8"/>
  <c r="C41" i="15"/>
  <c r="E39" i="15"/>
  <c r="F39" i="15"/>
  <c r="M38" i="15"/>
  <c r="L21" i="15"/>
  <c r="M21" i="15"/>
  <c r="L38" i="15"/>
  <c r="L38" i="2"/>
  <c r="J39" i="15"/>
  <c r="N39" i="15" s="1"/>
  <c r="Q38" i="15"/>
  <c r="U38" i="15" s="1"/>
  <c r="T37" i="15"/>
  <c r="S37" i="15"/>
  <c r="S33" i="15"/>
  <c r="T33" i="15"/>
  <c r="S13" i="15"/>
  <c r="T13" i="15"/>
  <c r="Q21" i="15"/>
  <c r="U21" i="15" s="1"/>
  <c r="T20" i="15"/>
  <c r="S20" i="15"/>
  <c r="E7" i="5"/>
  <c r="A27" i="10"/>
  <c r="A34" i="10" s="1"/>
  <c r="E19" i="3"/>
  <c r="E11" i="8"/>
  <c r="E12" i="8" s="1"/>
  <c r="E18" i="3"/>
  <c r="E17" i="3"/>
  <c r="F33" i="1"/>
  <c r="F30" i="1"/>
  <c r="F26" i="1"/>
  <c r="F20" i="1"/>
  <c r="F17" i="1"/>
  <c r="F13" i="1"/>
  <c r="F21" i="1"/>
  <c r="F32" i="1"/>
  <c r="F29" i="1"/>
  <c r="F23" i="1"/>
  <c r="F19" i="1"/>
  <c r="F16" i="1"/>
  <c r="F12" i="1"/>
  <c r="F27" i="1"/>
  <c r="F14" i="1"/>
  <c r="F36" i="1"/>
  <c r="F31" i="1"/>
  <c r="F28" i="1"/>
  <c r="F22" i="1"/>
  <c r="F18" i="1"/>
  <c r="F15" i="1"/>
  <c r="F4" i="1"/>
  <c r="F35" i="1"/>
  <c r="F34" i="1"/>
  <c r="E37" i="1"/>
  <c r="B29" i="10"/>
  <c r="T28" i="15" l="1"/>
  <c r="E13" i="3"/>
  <c r="J41" i="15"/>
  <c r="M39" i="15"/>
  <c r="L39" i="15"/>
  <c r="T21" i="15"/>
  <c r="S21" i="15"/>
  <c r="Q39" i="15"/>
  <c r="U39" i="15" s="1"/>
  <c r="S38" i="15"/>
  <c r="T38" i="15"/>
  <c r="E10" i="5"/>
  <c r="E14" i="3"/>
  <c r="E4" i="3"/>
  <c r="A28" i="10"/>
  <c r="A35" i="10" s="1"/>
  <c r="F37" i="1"/>
  <c r="E39" i="1"/>
  <c r="Q41" i="15" l="1"/>
  <c r="S39" i="15"/>
  <c r="T39" i="15"/>
  <c r="E8" i="8"/>
  <c r="E5" i="3"/>
  <c r="A29" i="10"/>
  <c r="A36" i="10" s="1"/>
  <c r="AB4" i="10"/>
  <c r="AB5" i="10" s="1"/>
  <c r="AB6" i="10" s="1"/>
  <c r="AB7" i="10" s="1"/>
  <c r="C8" i="10"/>
  <c r="D8" i="10"/>
  <c r="E8" i="10"/>
  <c r="F8" i="10"/>
  <c r="G8" i="10"/>
  <c r="B8" i="10"/>
  <c r="A8" i="10"/>
  <c r="A5" i="10"/>
  <c r="H5" i="10" s="1"/>
  <c r="A4" i="10"/>
  <c r="H4" i="10" l="1"/>
  <c r="A1" i="10"/>
  <c r="E8" i="3"/>
  <c r="E7" i="3"/>
  <c r="AB8" i="10"/>
  <c r="T3" i="10"/>
  <c r="T5" i="10"/>
  <c r="T9" i="10"/>
  <c r="T8" i="10"/>
  <c r="T6" i="10"/>
  <c r="T10" i="10"/>
  <c r="T7" i="10"/>
  <c r="T4" i="10"/>
  <c r="C6" i="8"/>
  <c r="D6" i="8"/>
  <c r="C5" i="8"/>
  <c r="J20" i="8" s="1"/>
  <c r="D5" i="8"/>
  <c r="H6" i="8" l="1"/>
  <c r="F5" i="8"/>
  <c r="H5" i="8"/>
  <c r="G5" i="8"/>
  <c r="G6" i="8"/>
  <c r="F6" i="8"/>
  <c r="AB9" i="10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U3" i="10"/>
  <c r="H11" i="10" l="1"/>
  <c r="A42" i="10"/>
  <c r="AB10" i="10"/>
  <c r="V3" i="10"/>
  <c r="A10" i="10" s="1"/>
  <c r="D45" i="2"/>
  <c r="D35" i="1"/>
  <c r="I35" i="1" s="1"/>
  <c r="D31" i="1"/>
  <c r="I31" i="1" s="1"/>
  <c r="I26" i="1"/>
  <c r="D18" i="1"/>
  <c r="G46" i="10" s="1"/>
  <c r="I18" i="1" l="1"/>
  <c r="D11" i="3"/>
  <c r="D18" i="8"/>
  <c r="H10" i="10"/>
  <c r="A41" i="10"/>
  <c r="D46" i="2"/>
  <c r="D16" i="3"/>
  <c r="K36" i="2"/>
  <c r="F38" i="2"/>
  <c r="H38" i="2"/>
  <c r="G38" i="2"/>
  <c r="F45" i="2"/>
  <c r="G45" i="2"/>
  <c r="H45" i="2"/>
  <c r="F33" i="2"/>
  <c r="G33" i="2"/>
  <c r="H33" i="2"/>
  <c r="D18" i="2"/>
  <c r="D18" i="3" s="1"/>
  <c r="F16" i="2"/>
  <c r="G16" i="2"/>
  <c r="H16" i="2"/>
  <c r="G11" i="10"/>
  <c r="G35" i="1"/>
  <c r="H35" i="1"/>
  <c r="G11" i="1"/>
  <c r="H11" i="1"/>
  <c r="H18" i="1"/>
  <c r="G18" i="1"/>
  <c r="G26" i="1"/>
  <c r="H26" i="1"/>
  <c r="H31" i="1"/>
  <c r="G31" i="1"/>
  <c r="D15" i="8"/>
  <c r="B28" i="10"/>
  <c r="AB11" i="10"/>
  <c r="A7" i="10"/>
  <c r="D36" i="1"/>
  <c r="D13" i="8"/>
  <c r="D14" i="8"/>
  <c r="K34" i="2"/>
  <c r="D12" i="3"/>
  <c r="D10" i="3"/>
  <c r="D19" i="1"/>
  <c r="K33" i="2"/>
  <c r="K35" i="2"/>
  <c r="K37" i="2"/>
  <c r="D9" i="3"/>
  <c r="G5" i="10" l="1"/>
  <c r="I36" i="1"/>
  <c r="G4" i="10"/>
  <c r="I19" i="1"/>
  <c r="H12" i="10"/>
  <c r="H42" i="10" s="1"/>
  <c r="H14" i="8"/>
  <c r="H13" i="8"/>
  <c r="H15" i="8"/>
  <c r="K38" i="2"/>
  <c r="D7" i="5"/>
  <c r="G36" i="10"/>
  <c r="D19" i="3"/>
  <c r="D17" i="3"/>
  <c r="D11" i="8"/>
  <c r="G18" i="2"/>
  <c r="F18" i="2"/>
  <c r="H18" i="2"/>
  <c r="G19" i="1"/>
  <c r="H19" i="1"/>
  <c r="H36" i="1"/>
  <c r="G36" i="1"/>
  <c r="G10" i="10"/>
  <c r="G14" i="8"/>
  <c r="F14" i="8"/>
  <c r="F13" i="8"/>
  <c r="G13" i="8"/>
  <c r="F15" i="8"/>
  <c r="G15" i="8"/>
  <c r="AB12" i="10"/>
  <c r="D37" i="1"/>
  <c r="I37" i="1" s="1"/>
  <c r="D16" i="8"/>
  <c r="D17" i="8" s="1"/>
  <c r="D12" i="8" l="1"/>
  <c r="G12" i="8" s="1"/>
  <c r="H11" i="8"/>
  <c r="H41" i="10"/>
  <c r="G12" i="10"/>
  <c r="G42" i="10" s="1"/>
  <c r="H17" i="8"/>
  <c r="F17" i="8"/>
  <c r="G17" i="8"/>
  <c r="H16" i="8"/>
  <c r="C16" i="3"/>
  <c r="D10" i="5"/>
  <c r="D14" i="3"/>
  <c r="D4" i="3"/>
  <c r="F11" i="8"/>
  <c r="G11" i="8"/>
  <c r="H37" i="1"/>
  <c r="G37" i="1"/>
  <c r="F16" i="8"/>
  <c r="G16" i="8"/>
  <c r="AB13" i="10"/>
  <c r="D13" i="3"/>
  <c r="D39" i="1"/>
  <c r="H12" i="8" l="1"/>
  <c r="F12" i="8"/>
  <c r="G41" i="10"/>
  <c r="D5" i="3"/>
  <c r="D8" i="8"/>
  <c r="AB14" i="10"/>
  <c r="J33" i="2"/>
  <c r="J35" i="2"/>
  <c r="J37" i="2"/>
  <c r="J36" i="2"/>
  <c r="J34" i="2"/>
  <c r="C45" i="2"/>
  <c r="C31" i="1"/>
  <c r="C46" i="2" l="1"/>
  <c r="J38" i="2"/>
  <c r="AB15" i="10"/>
  <c r="AB16" i="10" s="1"/>
  <c r="AB17" i="10" s="1"/>
  <c r="AB18" i="10" s="1"/>
  <c r="D11" i="10"/>
  <c r="H8" i="8"/>
  <c r="G8" i="8"/>
  <c r="F8" i="8"/>
  <c r="D7" i="3"/>
  <c r="D8" i="3"/>
  <c r="E11" i="10"/>
  <c r="B26" i="10"/>
  <c r="B25" i="10"/>
  <c r="F32" i="10" s="1"/>
  <c r="C13" i="8"/>
  <c r="E4" i="10"/>
  <c r="D4" i="10"/>
  <c r="C35" i="1"/>
  <c r="C18" i="1"/>
  <c r="F46" i="10" s="1"/>
  <c r="G32" i="10" l="1"/>
  <c r="C11" i="3"/>
  <c r="AB19" i="10"/>
  <c r="AE18" i="10"/>
  <c r="C18" i="8"/>
  <c r="G33" i="10"/>
  <c r="E33" i="10" s="1"/>
  <c r="D5" i="10"/>
  <c r="E5" i="10"/>
  <c r="F11" i="10"/>
  <c r="I11" i="10" s="1"/>
  <c r="E10" i="10"/>
  <c r="D10" i="10"/>
  <c r="C9" i="3"/>
  <c r="C14" i="8"/>
  <c r="C12" i="3"/>
  <c r="C15" i="8"/>
  <c r="C10" i="3"/>
  <c r="C18" i="2"/>
  <c r="C36" i="1"/>
  <c r="F10" i="10" s="1"/>
  <c r="I10" i="10" s="1"/>
  <c r="C19" i="1"/>
  <c r="B27" i="10" s="1"/>
  <c r="AB20" i="10" l="1"/>
  <c r="AE19" i="10"/>
  <c r="F12" i="10"/>
  <c r="F41" i="10" s="1"/>
  <c r="D12" i="10"/>
  <c r="D42" i="10" s="1"/>
  <c r="E12" i="10"/>
  <c r="E42" i="10" s="1"/>
  <c r="F4" i="10"/>
  <c r="C7" i="5"/>
  <c r="G34" i="10"/>
  <c r="G35" i="10"/>
  <c r="E35" i="10" s="1"/>
  <c r="D33" i="10"/>
  <c r="B33" i="10" s="1"/>
  <c r="F5" i="10"/>
  <c r="C16" i="8"/>
  <c r="C17" i="8" s="1"/>
  <c r="C18" i="3"/>
  <c r="C11" i="8"/>
  <c r="C12" i="8" s="1"/>
  <c r="C19" i="3"/>
  <c r="C17" i="3"/>
  <c r="C37" i="1"/>
  <c r="AB21" i="10" l="1"/>
  <c r="AE20" i="10"/>
  <c r="E41" i="10"/>
  <c r="F42" i="10"/>
  <c r="D41" i="10"/>
  <c r="D35" i="10"/>
  <c r="C4" i="3"/>
  <c r="C10" i="5"/>
  <c r="C14" i="3"/>
  <c r="D34" i="10"/>
  <c r="B34" i="10" s="1"/>
  <c r="E34" i="10"/>
  <c r="E36" i="10"/>
  <c r="D36" i="10"/>
  <c r="C39" i="1"/>
  <c r="C13" i="3"/>
  <c r="AB22" i="10" l="1"/>
  <c r="AB23" i="10" s="1"/>
  <c r="AB24" i="10" s="1"/>
  <c r="AB25" i="10" s="1"/>
  <c r="AB26" i="10" s="1"/>
  <c r="AB27" i="10" s="1"/>
  <c r="AE21" i="10"/>
  <c r="AF23" i="10" s="1"/>
  <c r="C8" i="8"/>
  <c r="C5" i="3"/>
  <c r="B35" i="10"/>
  <c r="B36" i="10" s="1"/>
  <c r="C37" i="10" s="1"/>
  <c r="AF19" i="10" l="1"/>
  <c r="AF5" i="10"/>
  <c r="AG5" i="10" s="1"/>
  <c r="AH5" i="10" s="1"/>
  <c r="AF18" i="10"/>
  <c r="AF7" i="10"/>
  <c r="AG7" i="10" s="1"/>
  <c r="A20" i="10" s="1"/>
  <c r="AF27" i="10"/>
  <c r="AF17" i="10"/>
  <c r="AF9" i="10"/>
  <c r="AG9" i="10" s="1"/>
  <c r="AH9" i="10" s="1"/>
  <c r="AF10" i="10"/>
  <c r="AG10" i="10" s="1"/>
  <c r="AH10" i="10" s="1"/>
  <c r="AF20" i="10"/>
  <c r="AF24" i="10"/>
  <c r="AF22" i="10"/>
  <c r="AF6" i="10"/>
  <c r="AG6" i="10" s="1"/>
  <c r="AH6" i="10" s="1"/>
  <c r="AF3" i="10"/>
  <c r="AH3" i="10" s="1"/>
  <c r="AF11" i="10"/>
  <c r="AG11" i="10" s="1"/>
  <c r="AH11" i="10" s="1"/>
  <c r="AF25" i="10"/>
  <c r="AF14" i="10"/>
  <c r="AF4" i="10"/>
  <c r="AG4" i="10" s="1"/>
  <c r="AF16" i="10"/>
  <c r="AF12" i="10"/>
  <c r="AG12" i="10" s="1"/>
  <c r="AH12" i="10" s="1"/>
  <c r="AF13" i="10"/>
  <c r="AG13" i="10" s="1"/>
  <c r="AH13" i="10" s="1"/>
  <c r="AF21" i="10"/>
  <c r="AF15" i="10"/>
  <c r="AG15" i="10" s="1"/>
  <c r="AF8" i="10"/>
  <c r="AG8" i="10" s="1"/>
  <c r="AH8" i="10" s="1"/>
  <c r="AF26" i="10"/>
  <c r="C7" i="3"/>
  <c r="C8" i="3"/>
  <c r="A18" i="10"/>
  <c r="AH4" i="10"/>
  <c r="A17" i="10"/>
  <c r="AH7" i="10"/>
  <c r="A19" i="10" l="1"/>
  <c r="A22" i="10"/>
  <c r="G22" i="10" s="1"/>
  <c r="A21" i="10"/>
  <c r="AI8" i="10"/>
  <c r="AJ8" i="10" s="1"/>
  <c r="AI11" i="10"/>
  <c r="AJ11" i="10" s="1"/>
  <c r="AI13" i="10"/>
  <c r="AJ13" i="10" s="1"/>
  <c r="AI3" i="10"/>
  <c r="AJ3" i="10" s="1"/>
  <c r="AI6" i="10"/>
  <c r="AJ6" i="10" s="1"/>
  <c r="AI12" i="10"/>
  <c r="AJ12" i="10" s="1"/>
  <c r="AI5" i="10"/>
  <c r="AJ5" i="10" s="1"/>
  <c r="G20" i="10"/>
  <c r="H20" i="10"/>
  <c r="F20" i="10"/>
  <c r="H17" i="10"/>
  <c r="G17" i="10"/>
  <c r="F17" i="10"/>
  <c r="F18" i="10"/>
  <c r="H18" i="10"/>
  <c r="G18" i="10"/>
  <c r="AI10" i="10"/>
  <c r="AJ10" i="10" s="1"/>
  <c r="AI9" i="10"/>
  <c r="AJ9" i="10" s="1"/>
  <c r="AI4" i="10"/>
  <c r="AJ4" i="10" s="1"/>
  <c r="AI7" i="10"/>
  <c r="AJ7" i="10" s="1"/>
  <c r="G16" i="10"/>
  <c r="H21" i="10"/>
  <c r="G21" i="10"/>
  <c r="F21" i="10"/>
  <c r="H22" i="10"/>
  <c r="F22" i="10"/>
  <c r="F19" i="10"/>
  <c r="G19" i="10"/>
  <c r="H19" i="10"/>
  <c r="I20" i="10" l="1"/>
  <c r="I17" i="10"/>
  <c r="I18" i="10"/>
  <c r="I19" i="10"/>
  <c r="I21" i="10"/>
  <c r="H16" i="10"/>
  <c r="F16" i="10"/>
  <c r="I22" i="10"/>
  <c r="I16" i="10" l="1"/>
  <c r="J16" i="10" s="1"/>
  <c r="J19" i="10" l="1"/>
  <c r="J21" i="10"/>
  <c r="J18" i="10"/>
  <c r="J17" i="10"/>
  <c r="O20" i="10" s="1"/>
  <c r="R20" i="10" s="1"/>
  <c r="J20" i="10"/>
  <c r="J22" i="10"/>
  <c r="O22" i="10" l="1"/>
  <c r="R22" i="10" s="1"/>
  <c r="O21" i="10"/>
  <c r="R21" i="10" s="1"/>
  <c r="O19" i="10"/>
  <c r="R19" i="10" s="1"/>
  <c r="O17" i="10"/>
  <c r="R17" i="10" s="1"/>
  <c r="O16" i="10"/>
  <c r="R16" i="10" s="1"/>
  <c r="O18" i="10"/>
  <c r="R18" i="10" s="1"/>
  <c r="R23" i="10" l="1"/>
  <c r="S16" i="10" s="1"/>
  <c r="H18" i="8"/>
  <c r="F18" i="8"/>
  <c r="G18" i="8"/>
  <c r="S19" i="10" l="1"/>
  <c r="O23" i="10"/>
  <c r="S17" i="10"/>
  <c r="S22" i="10"/>
  <c r="S21" i="10"/>
  <c r="S20" i="10"/>
  <c r="S18" i="10"/>
</calcChain>
</file>

<file path=xl/sharedStrings.xml><?xml version="1.0" encoding="utf-8"?>
<sst xmlns="http://schemas.openxmlformats.org/spreadsheetml/2006/main" count="812" uniqueCount="336">
  <si>
    <t>Indicator</t>
  </si>
  <si>
    <t>Imobilizari corporale</t>
  </si>
  <si>
    <t>Property, plant and equipment</t>
  </si>
  <si>
    <t>Investitii imobiliare</t>
  </si>
  <si>
    <t>Investment property</t>
  </si>
  <si>
    <t>Imobilizari necorporale</t>
  </si>
  <si>
    <t>Active financiare</t>
  </si>
  <si>
    <t>Total active pe termen lung</t>
  </si>
  <si>
    <t>Total non-current assets</t>
  </si>
  <si>
    <t>Active imobilizate detinute in vederea vanzarii</t>
  </si>
  <si>
    <t>Stocuri</t>
  </si>
  <si>
    <t>Creante comerciale si alte creante</t>
  </si>
  <si>
    <t>Imprumuturi acordate partilor afiliate</t>
  </si>
  <si>
    <t>Impozite de recuperat</t>
  </si>
  <si>
    <t>Alte active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</si>
  <si>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</si>
  <si>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</si>
  <si>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</si>
  <si>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</si>
  <si>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</si>
  <si>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</si>
  <si>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Prime de capital</t>
  </si>
  <si>
    <t>Share premium</t>
  </si>
  <si>
    <t>Rezerve</t>
  </si>
  <si>
    <t>Rezultat reportat</t>
  </si>
  <si>
    <t>Retained earnings</t>
  </si>
  <si>
    <t>Total capitaluri</t>
  </si>
  <si>
    <t>Total Equity</t>
  </si>
  <si>
    <t>Imprumuturi</t>
  </si>
  <si>
    <t>Leasinguri financiare si alte datorii purtatoare de dobanda</t>
  </si>
  <si>
    <t>Datorii privind impozitul amanat</t>
  </si>
  <si>
    <t>Deferred tax liabilities</t>
  </si>
  <si>
    <t>Alte datorii pe termen lung</t>
  </si>
  <si>
    <t>Venituri in avans</t>
  </si>
  <si>
    <t>Total datorii pe termen lung</t>
  </si>
  <si>
    <t>Total non-current liabilities</t>
  </si>
  <si>
    <t>Datorii comerciale</t>
  </si>
  <si>
    <t>Imprumuturi primite de la parti afiliate</t>
  </si>
  <si>
    <t>Total datorii curente</t>
  </si>
  <si>
    <t>Total current liabilities</t>
  </si>
  <si>
    <t>Total datorii</t>
  </si>
  <si>
    <t>Total liabilities</t>
  </si>
  <si>
    <t>Total capitaluri si datorii</t>
  </si>
  <si>
    <t>Total equity and liabilities</t>
  </si>
  <si>
    <t>Income statement</t>
  </si>
  <si>
    <t>Revenue</t>
  </si>
  <si>
    <t>Raw materials and consumables used</t>
  </si>
  <si>
    <t>Depreciation and amortisation expenses</t>
  </si>
  <si>
    <t>Other income</t>
  </si>
  <si>
    <t>Other expenses</t>
  </si>
  <si>
    <t>Profit (pierdere) inaintea impozitarii</t>
  </si>
  <si>
    <t>Profit (loss) before tax</t>
  </si>
  <si>
    <t>Impozit pe profit</t>
  </si>
  <si>
    <t>Venituri din chirii</t>
  </si>
  <si>
    <t xml:space="preserve"> Rental and royalty income 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</si>
  <si>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</si>
  <si>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</si>
  <si>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</si>
  <si>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</si>
  <si>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</si>
  <si>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>Revenue details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</si>
  <si>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</si>
  <si>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</si>
  <si>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</si>
  <si>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</si>
  <si>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</si>
  <si>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</si>
  <si>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</si>
  <si>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</si>
  <si>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</si>
  <si>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</si>
  <si>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</si>
  <si>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</si>
  <si>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</si>
  <si>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</si>
  <si>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</si>
  <si>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</si>
  <si>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</si>
  <si>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</si>
  <si>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</si>
  <si>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</si>
  <si>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</si>
  <si>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</si>
  <si>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</si>
  <si>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</si>
  <si>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</si>
  <si>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</si>
  <si>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</si>
  <si>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</si>
  <si>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</si>
  <si>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</si>
  <si>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</si>
  <si>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</si>
  <si>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</si>
  <si>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</si>
  <si>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</si>
  <si>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</si>
  <si>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</si>
  <si>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</si>
  <si>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</si>
  <si>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</si>
  <si>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</si>
  <si>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</si>
  <si>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</si>
  <si>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Weights in Revenue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</si>
  <si>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</si>
  <si>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</si>
  <si>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</si>
  <si>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</si>
  <si>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</si>
  <si>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</si>
  <si>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</si>
  <si>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</si>
  <si>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</si>
  <si>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</si>
  <si>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</si>
  <si>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</si>
  <si>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</si>
  <si>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</si>
  <si>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</si>
  <si>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</si>
  <si>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</si>
  <si>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</si>
  <si>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</si>
  <si>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Borrowings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</si>
  <si>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</si>
  <si>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</si>
  <si>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</si>
  <si>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</si>
  <si>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</si>
  <si>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</si>
  <si>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</si>
  <si>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</si>
  <si>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</si>
  <si>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</si>
  <si>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</si>
  <si>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</si>
  <si>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</si>
  <si>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</si>
  <si>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</si>
  <si>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</si>
  <si>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</si>
  <si>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</si>
  <si>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</si>
  <si>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</si>
  <si>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 xml:space="preserve"> - Sales of finished goods</t>
  </si>
  <si>
    <t>Period</t>
  </si>
  <si>
    <t>Year</t>
  </si>
  <si>
    <t>Total Sales, out of which:</t>
  </si>
  <si>
    <t>List5</t>
  </si>
  <si>
    <t>January 01,</t>
  </si>
  <si>
    <t>No. of days</t>
  </si>
  <si>
    <t>Variation</t>
  </si>
  <si>
    <t>Days</t>
  </si>
  <si>
    <t>Select the year &gt;&gt;&gt;</t>
  </si>
  <si>
    <t>Select the 1st comparison item &gt;&gt;&gt;</t>
  </si>
  <si>
    <t>Select the 2nd comparison item &gt;&gt;&gt;</t>
  </si>
  <si>
    <t>Select the item &gt;&gt;&gt;</t>
  </si>
  <si>
    <t>Weights in Sales</t>
  </si>
  <si>
    <t>The source of the financial information is the company reports.</t>
  </si>
  <si>
    <t>Debt ratio</t>
  </si>
  <si>
    <t>Current liquidity</t>
  </si>
  <si>
    <t>EBITDA Operational</t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</si>
  <si>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</si>
  <si>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</si>
  <si>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t>Intangible assets other than goodwill</t>
  </si>
  <si>
    <t>Investments in subsidiaries, joint ventures and associates</t>
  </si>
  <si>
    <t>Active imobilizante detinute in vederea vanzarii</t>
  </si>
  <si>
    <t>Non-current assets or disposal groups classified as held for sale or as held for distribution to owners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</si>
  <si>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</si>
  <si>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</si>
  <si>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</si>
  <si>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</si>
  <si>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</si>
  <si>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Other reserves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</si>
  <si>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</si>
  <si>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</si>
  <si>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</si>
  <si>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</si>
  <si>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</si>
  <si>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Alte datorii financiare pe termen lung</t>
  </si>
  <si>
    <t>Other non-current financial liabilities</t>
  </si>
  <si>
    <t>Other non-current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</si>
  <si>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</si>
  <si>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</si>
  <si>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</si>
  <si>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</si>
  <si>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</si>
  <si>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</si>
  <si>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</si>
  <si>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</si>
  <si>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</si>
  <si>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</si>
  <si>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</si>
  <si>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</si>
  <si>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</si>
  <si>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</si>
  <si>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Other income details</t>
  </si>
  <si>
    <t>Fond comercial</t>
  </si>
  <si>
    <t>Goodwill</t>
  </si>
  <si>
    <t>Imobilizari necorporale, altele decat fondul comercial</t>
  </si>
  <si>
    <t>Titluri puse in echivalenta</t>
  </si>
  <si>
    <t>Investments accounted for using equity method</t>
  </si>
  <si>
    <t>Actiuni detinute la entitatile afiliate, la entitatile asociate sau la entitatile controlate in comun</t>
  </si>
  <si>
    <t>Alte active financiare pe termen lung</t>
  </si>
  <si>
    <t>Other financial non-current assets</t>
  </si>
  <si>
    <t>Active pe termen lung</t>
  </si>
  <si>
    <t>Stocuri curente</t>
  </si>
  <si>
    <t xml:space="preserve">Alte active curente financiare </t>
  </si>
  <si>
    <t>Alte active curente</t>
  </si>
  <si>
    <t>Numerar şi conturi bancare</t>
  </si>
  <si>
    <t>Active curente</t>
  </si>
  <si>
    <t>Activ</t>
  </si>
  <si>
    <t>Total asset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</si>
  <si>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</si>
  <si>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</si>
  <si>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</si>
  <si>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</si>
  <si>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</si>
  <si>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Capitaluri</t>
  </si>
  <si>
    <t>Total equity</t>
  </si>
  <si>
    <t>Alte datorii privind provizioane pe termen lung</t>
  </si>
  <si>
    <t>Other non-current provisions</t>
  </si>
  <si>
    <t xml:space="preserve">Datorii privind impozitul amanat </t>
  </si>
  <si>
    <t>Alte datorii  nefinanciare pe termen lung</t>
  </si>
  <si>
    <t>Datorii pe termen lung</t>
  </si>
  <si>
    <t>Trade and other current payables</t>
  </si>
  <si>
    <t>Datorii curente</t>
  </si>
  <si>
    <t>Datorii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</si>
  <si>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</si>
  <si>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</si>
  <si>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</si>
  <si>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</si>
  <si>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</si>
  <si>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</si>
  <si>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</si>
  <si>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</si>
  <si>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</si>
  <si>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</si>
  <si>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</si>
  <si>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</si>
  <si>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</si>
  <si>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</si>
  <si>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</si>
  <si>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</si>
  <si>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</si>
  <si>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</si>
  <si>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</si>
  <si>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</si>
  <si>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</si>
  <si>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</si>
  <si>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</si>
  <si>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Comprehensive income : Equity holders of the parent</t>
  </si>
  <si>
    <t>Comprehensive income : Minority interest PL</t>
  </si>
  <si>
    <t>Rezultat global: Detinatorilor de capital propriu ai societatii mama</t>
  </si>
  <si>
    <t>Rezultat global: Interese minoritare</t>
  </si>
  <si>
    <t>Comparison with the beginning of the year for the last 3 periods</t>
  </si>
  <si>
    <t xml:space="preserve"> - Sales of intermediary goods and residual products</t>
  </si>
  <si>
    <t xml:space="preserve"> - Venituri din vanzari de produse finite</t>
  </si>
  <si>
    <t xml:space="preserve"> - Venituri din vanzari de semifabricate si produse reziduale</t>
  </si>
  <si>
    <t>Share of profit (loss) of associates (Romgreen Universal (Green-Group))</t>
  </si>
  <si>
    <t>n/a</t>
  </si>
  <si>
    <t xml:space="preserve">Net profit without the impact of Share of profit / loss of associates [Green-Group]     </t>
  </si>
  <si>
    <t>Profit : Detinatorilor de capital propriu ai societatii mama</t>
  </si>
  <si>
    <t>Profit: Interese minoritare</t>
  </si>
  <si>
    <t>30.09.17</t>
  </si>
  <si>
    <t>30.09.18</t>
  </si>
  <si>
    <t>Camp</t>
  </si>
  <si>
    <t>3 Months 2021</t>
  </si>
  <si>
    <t>3 Months 2022</t>
  </si>
  <si>
    <t>31.03.21</t>
  </si>
  <si>
    <t>31.03.22</t>
  </si>
  <si>
    <t>@ 3 Months</t>
  </si>
  <si>
    <t>March 31,</t>
  </si>
  <si>
    <t>31 March</t>
  </si>
  <si>
    <t xml:space="preserve">CONSOLIDATED FINANCIAL DATA  (IFRS - EU) - 1stQuarter </t>
  </si>
  <si>
    <t>Adjustments for income tax expense</t>
  </si>
  <si>
    <t>Finance expenses recognized in profit</t>
  </si>
  <si>
    <t>(Gain) / Loss on sale or disposal of fixed assets</t>
  </si>
  <si>
    <t>Production of the imobilization</t>
  </si>
  <si>
    <t>Interest income</t>
  </si>
  <si>
    <t>Loss on time-barred receivables</t>
  </si>
  <si>
    <t>Amortization / Depreciation of non-current assets</t>
  </si>
  <si>
    <t xml:space="preserve">Net (gain) / loss on foreign exchange </t>
  </si>
  <si>
    <t>(Gain) / Loss on share of profit of associates</t>
  </si>
  <si>
    <t>Increases /(decreases) in subsidies</t>
  </si>
  <si>
    <t>(Increase) / Decrease in trade and other receivables</t>
  </si>
  <si>
    <t>(Increase) / Decrease  in inventories</t>
  </si>
  <si>
    <t>(Increase) / Decrease in other assets</t>
  </si>
  <si>
    <t>Increase / (Decrease) in trade and other payables</t>
  </si>
  <si>
    <t>Increase / (Decrease) in other payables</t>
  </si>
  <si>
    <t>Interest paid</t>
  </si>
  <si>
    <t>Income tax paid</t>
  </si>
  <si>
    <t>Bank commissions paid</t>
  </si>
  <si>
    <t>Net cash generated by/utilized in operating activities</t>
  </si>
  <si>
    <t>Cash flows from investing activities:</t>
  </si>
  <si>
    <t>Payments for property, plant and equipment</t>
  </si>
  <si>
    <t>Payments for assets held for sale</t>
  </si>
  <si>
    <t>Payments for intangible assets</t>
  </si>
  <si>
    <t>Proceeds from disposal of property, plant and equipment</t>
  </si>
  <si>
    <t>Interest received</t>
  </si>
  <si>
    <t xml:space="preserve">Net cash generated by / (used in) investing activities </t>
  </si>
  <si>
    <t>Cash flows from financing activities:</t>
  </si>
  <si>
    <t>Proceeds from borrowing</t>
  </si>
  <si>
    <t>Repayment of borrowing</t>
  </si>
  <si>
    <t>Lease payments</t>
  </si>
  <si>
    <t>Net cash generated by / (used) by financing activities</t>
  </si>
  <si>
    <t>Cash and cash equivalents at the beginning of the year</t>
  </si>
  <si>
    <t>Cash and cash equivalents at the end of the year</t>
  </si>
  <si>
    <t>Total adjustments to reconcile profit (loss)</t>
  </si>
  <si>
    <t>Adjustments to reconcile profit (loss)</t>
  </si>
  <si>
    <t>Cash flows from (used in) operating activities</t>
  </si>
  <si>
    <t>Profit (loss)</t>
  </si>
  <si>
    <t>Effect of exchange rate changes on cash and cash equivalents</t>
  </si>
  <si>
    <t>Net increase (decrease) in cash and cash equivalents</t>
  </si>
  <si>
    <t>Net increase (decrease) in cash and cash equivalents before effect of exchange rate changes</t>
  </si>
  <si>
    <t>Movement in working capital</t>
  </si>
  <si>
    <t>Trimestrul1</t>
  </si>
  <si>
    <t xml:space="preserve">3 luni </t>
  </si>
  <si>
    <t xml:space="preserve">31 Martie </t>
  </si>
  <si>
    <t>31 Martie</t>
  </si>
  <si>
    <t>Semestrul1</t>
  </si>
  <si>
    <t xml:space="preserve">6 luni </t>
  </si>
  <si>
    <t xml:space="preserve">30 Iunie </t>
  </si>
  <si>
    <t>30 Iunie</t>
  </si>
  <si>
    <t>Trimestrul3</t>
  </si>
  <si>
    <t xml:space="preserve">9 luni </t>
  </si>
  <si>
    <t xml:space="preserve">30 Septembrie </t>
  </si>
  <si>
    <t>30 Septembrie</t>
  </si>
  <si>
    <t>3 Months 2023</t>
  </si>
  <si>
    <t>31.03.23</t>
  </si>
  <si>
    <t>(Gain) / Loss on sale or disposal of assets held for sale</t>
  </si>
  <si>
    <t>Loss on impairment of stocks</t>
  </si>
  <si>
    <t>Proceeds from investments in associates</t>
  </si>
  <si>
    <t>Proceeds from sale of assets held for sales</t>
  </si>
  <si>
    <t>Dividends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</si>
</sst>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lei&quot;;\-#,##0\ &quot;lei&quot;"/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.0000000_ ;\-#,##0.0000000\ "/>
    <numFmt numFmtId="170" formatCode="_(* #,##0_);_(* \(#,##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.5"/>
      <color theme="0"/>
      <name val="Candara"/>
      <family val="2"/>
    </font>
    <font>
      <sz val="11.5"/>
      <color theme="1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10"/>
      <color theme="3" tint="-0.499984740745262"/>
      <name val="Candara"/>
      <family val="2"/>
    </font>
    <font>
      <u/>
      <sz val="11"/>
      <name val="Candara"/>
      <family val="2"/>
    </font>
    <font>
      <b/>
      <u/>
      <sz val="11"/>
      <color theme="1"/>
      <name val="Candara"/>
      <family val="2"/>
    </font>
    <font>
      <b/>
      <sz val="11.5"/>
      <name val="Candara"/>
      <family val="2"/>
    </font>
    <font>
      <b/>
      <sz val="9"/>
      <name val="Verdana"/>
      <family val="2"/>
      <charset val="238"/>
    </font>
    <font>
      <b/>
      <sz val="11"/>
      <name val="Candara"/>
      <family val="2"/>
      <charset val="238"/>
    </font>
    <font>
      <b/>
      <sz val="10"/>
      <name val="Candara"/>
      <family val="2"/>
    </font>
    <font>
      <sz val="11"/>
      <color rgb="FFFF0000"/>
      <name val="Candara"/>
      <family val="2"/>
    </font>
    <font>
      <b/>
      <sz val="11"/>
      <color rgb="FFFF0000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i/>
      <sz val="8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5" borderId="3" applyNumberFormat="0" applyBorder="0" applyProtection="0">
      <alignment vertical="center"/>
    </xf>
  </cellStyleXfs>
  <cellXfs count="242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8" fillId="2" borderId="0" xfId="3" applyNumberFormat="1" applyFont="1" applyFill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164" fontId="18" fillId="4" borderId="1" xfId="3" applyNumberFormat="1" applyFont="1" applyFill="1" applyBorder="1" applyAlignment="1">
      <alignment vertical="center" wrapText="1"/>
    </xf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8" borderId="0" xfId="0" applyFont="1" applyFill="1" applyAlignment="1">
      <alignment horizontal="center"/>
    </xf>
    <xf numFmtId="167" fontId="3" fillId="8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168" fontId="6" fillId="0" borderId="0" xfId="0" applyNumberFormat="1" applyFont="1"/>
    <xf numFmtId="0" fontId="23" fillId="0" borderId="0" xfId="0" applyFont="1"/>
    <xf numFmtId="0" fontId="23" fillId="9" borderId="0" xfId="0" applyFont="1" applyFill="1" applyAlignment="1">
      <alignment horizontal="center"/>
    </xf>
    <xf numFmtId="167" fontId="23" fillId="0" borderId="0" xfId="1" applyNumberFormat="1" applyFont="1"/>
    <xf numFmtId="0" fontId="1" fillId="0" borderId="0" xfId="0" applyFont="1" applyAlignment="1">
      <alignment horizontal="center"/>
    </xf>
    <xf numFmtId="0" fontId="1" fillId="10" borderId="0" xfId="0" applyFont="1" applyFill="1"/>
    <xf numFmtId="0" fontId="23" fillId="10" borderId="0" xfId="0" applyFont="1" applyFill="1"/>
    <xf numFmtId="0" fontId="9" fillId="2" borderId="0" xfId="4" applyFont="1" applyFill="1" applyAlignment="1">
      <alignment horizontal="center" vertical="center"/>
    </xf>
    <xf numFmtId="167" fontId="42" fillId="0" borderId="0" xfId="0" applyNumberFormat="1" applyFont="1" applyAlignment="1">
      <alignment horizontal="center"/>
    </xf>
    <xf numFmtId="3" fontId="1" fillId="0" borderId="0" xfId="0" applyNumberFormat="1" applyFont="1"/>
    <xf numFmtId="0" fontId="23" fillId="2" borderId="0" xfId="0" applyFont="1" applyFill="1" applyAlignment="1">
      <alignment horizontal="left"/>
    </xf>
    <xf numFmtId="0" fontId="39" fillId="9" borderId="0" xfId="0" applyFont="1" applyFill="1" applyAlignment="1">
      <alignment horizontal="center"/>
    </xf>
    <xf numFmtId="167" fontId="39" fillId="9" borderId="0" xfId="1" applyNumberFormat="1" applyFont="1" applyFill="1" applyAlignment="1">
      <alignment horizontal="center"/>
    </xf>
    <xf numFmtId="0" fontId="43" fillId="0" borderId="0" xfId="0" applyFont="1"/>
    <xf numFmtId="167" fontId="43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3" fontId="44" fillId="2" borderId="2" xfId="0" applyNumberFormat="1" applyFont="1" applyFill="1" applyBorder="1"/>
    <xf numFmtId="43" fontId="6" fillId="0" borderId="0" xfId="1" applyFont="1"/>
    <xf numFmtId="9" fontId="6" fillId="0" borderId="0" xfId="2" applyFont="1"/>
    <xf numFmtId="10" fontId="6" fillId="0" borderId="0" xfId="2" applyNumberFormat="1" applyFont="1"/>
    <xf numFmtId="167" fontId="6" fillId="0" borderId="0" xfId="1" applyNumberFormat="1" applyFont="1"/>
    <xf numFmtId="10" fontId="15" fillId="0" borderId="0" xfId="2" applyNumberFormat="1" applyFont="1"/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10" fontId="8" fillId="2" borderId="0" xfId="2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9" fontId="17" fillId="0" borderId="0" xfId="2" applyFont="1"/>
    <xf numFmtId="9" fontId="3" fillId="0" borderId="0" xfId="2" applyFont="1"/>
    <xf numFmtId="5" fontId="3" fillId="0" borderId="0" xfId="1" applyNumberFormat="1" applyFont="1"/>
    <xf numFmtId="9" fontId="0" fillId="0" borderId="0" xfId="2" applyFont="1"/>
    <xf numFmtId="168" fontId="0" fillId="0" borderId="0" xfId="0" applyNumberFormat="1"/>
    <xf numFmtId="0" fontId="3" fillId="11" borderId="0" xfId="0" applyFont="1" applyFill="1"/>
    <xf numFmtId="0" fontId="24" fillId="12" borderId="0" xfId="0" applyFont="1" applyFill="1" applyAlignment="1">
      <alignment vertical="center"/>
    </xf>
    <xf numFmtId="0" fontId="0" fillId="12" borderId="0" xfId="0" applyFill="1"/>
    <xf numFmtId="0" fontId="19" fillId="12" borderId="0" xfId="0" applyFont="1" applyFill="1" applyAlignment="1">
      <alignment vertical="center"/>
    </xf>
    <xf numFmtId="0" fontId="25" fillId="12" borderId="0" xfId="0" applyFont="1" applyFill="1" applyAlignment="1">
      <alignment horizontal="justify" vertical="center"/>
    </xf>
    <xf numFmtId="0" fontId="26" fillId="12" borderId="0" xfId="0" applyFont="1" applyFill="1"/>
    <xf numFmtId="0" fontId="12" fillId="12" borderId="0" xfId="0" applyFont="1" applyFill="1"/>
    <xf numFmtId="0" fontId="6" fillId="12" borderId="0" xfId="0" applyFont="1" applyFill="1"/>
    <xf numFmtId="0" fontId="27" fillId="12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2" fillId="13" borderId="0" xfId="0" applyFont="1" applyFill="1" applyAlignment="1">
      <alignment vertical="top" wrapText="1"/>
    </xf>
    <xf numFmtId="0" fontId="30" fillId="13" borderId="0" xfId="0" applyFont="1" applyFill="1"/>
    <xf numFmtId="0" fontId="29" fillId="13" borderId="0" xfId="0" applyFont="1" applyFill="1"/>
    <xf numFmtId="0" fontId="33" fillId="13" borderId="0" xfId="0" applyFont="1" applyFill="1"/>
    <xf numFmtId="0" fontId="40" fillId="13" borderId="0" xfId="0" applyFont="1" applyFill="1"/>
    <xf numFmtId="0" fontId="23" fillId="12" borderId="0" xfId="0" applyFont="1" applyFill="1"/>
    <xf numFmtId="0" fontId="3" fillId="14" borderId="0" xfId="0" applyFont="1" applyFill="1"/>
    <xf numFmtId="0" fontId="23" fillId="14" borderId="0" xfId="0" applyFont="1" applyFill="1"/>
    <xf numFmtId="0" fontId="23" fillId="6" borderId="0" xfId="0" applyFont="1" applyFill="1" applyAlignment="1">
      <alignment horizontal="left"/>
    </xf>
    <xf numFmtId="0" fontId="23" fillId="13" borderId="0" xfId="0" applyFont="1" applyFill="1" applyAlignment="1">
      <alignment horizontal="left"/>
    </xf>
    <xf numFmtId="0" fontId="23" fillId="12" borderId="0" xfId="0" applyFont="1" applyFill="1" applyAlignment="1">
      <alignment vertical="center"/>
    </xf>
    <xf numFmtId="0" fontId="1" fillId="12" borderId="0" xfId="0" applyFont="1" applyFill="1"/>
    <xf numFmtId="0" fontId="1" fillId="6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64" fontId="8" fillId="12" borderId="0" xfId="3" applyNumberFormat="1" applyFont="1" applyFill="1" applyAlignment="1">
      <alignment vertical="center"/>
    </xf>
    <xf numFmtId="3" fontId="7" fillId="12" borderId="1" xfId="0" applyNumberFormat="1" applyFont="1" applyFill="1" applyBorder="1"/>
    <xf numFmtId="164" fontId="8" fillId="12" borderId="0" xfId="0" applyNumberFormat="1" applyFont="1" applyFill="1"/>
    <xf numFmtId="164" fontId="7" fillId="12" borderId="1" xfId="3" applyNumberFormat="1" applyFont="1" applyFill="1" applyBorder="1" applyAlignment="1">
      <alignment vertical="center"/>
    </xf>
    <xf numFmtId="164" fontId="7" fillId="12" borderId="1" xfId="3" applyNumberFormat="1" applyFont="1" applyFill="1" applyBorder="1" applyAlignment="1">
      <alignment vertical="center" wrapText="1"/>
    </xf>
    <xf numFmtId="10" fontId="7" fillId="12" borderId="1" xfId="2" applyNumberFormat="1" applyFont="1" applyFill="1" applyBorder="1" applyAlignment="1">
      <alignment horizontal="center" vertical="center" wrapText="1"/>
    </xf>
    <xf numFmtId="164" fontId="16" fillId="13" borderId="1" xfId="3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/>
    </xf>
    <xf numFmtId="0" fontId="23" fillId="2" borderId="0" xfId="0" applyFont="1" applyFill="1"/>
    <xf numFmtId="164" fontId="9" fillId="13" borderId="0" xfId="3" applyNumberFormat="1" applyFont="1" applyFill="1" applyAlignment="1">
      <alignment vertical="center"/>
    </xf>
    <xf numFmtId="0" fontId="23" fillId="2" borderId="7" xfId="0" applyFont="1" applyFill="1" applyBorder="1"/>
    <xf numFmtId="164" fontId="9" fillId="2" borderId="5" xfId="3" applyNumberFormat="1" applyFont="1" applyFill="1" applyBorder="1" applyAlignment="1">
      <alignment vertical="center"/>
    </xf>
    <xf numFmtId="164" fontId="9" fillId="13" borderId="5" xfId="3" applyNumberFormat="1" applyFont="1" applyFill="1" applyBorder="1" applyAlignment="1">
      <alignment vertical="center"/>
    </xf>
    <xf numFmtId="3" fontId="9" fillId="2" borderId="5" xfId="0" applyNumberFormat="1" applyFont="1" applyFill="1" applyBorder="1"/>
    <xf numFmtId="164" fontId="9" fillId="2" borderId="5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13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9" fontId="6" fillId="0" borderId="0" xfId="1" applyNumberFormat="1" applyFont="1"/>
    <xf numFmtId="0" fontId="3" fillId="0" borderId="0" xfId="0" applyFont="1" applyAlignment="1">
      <alignment horizontal="right"/>
    </xf>
    <xf numFmtId="0" fontId="0" fillId="12" borderId="0" xfId="0" applyFill="1" applyAlignment="1">
      <alignment vertical="top"/>
    </xf>
    <xf numFmtId="14" fontId="7" fillId="12" borderId="1" xfId="0" applyNumberFormat="1" applyFont="1" applyFill="1" applyBorder="1" applyAlignment="1">
      <alignment horizontal="center" vertical="center" wrapText="1"/>
    </xf>
    <xf numFmtId="164" fontId="9" fillId="13" borderId="0" xfId="3" applyNumberFormat="1" applyFont="1" applyFill="1" applyAlignment="1">
      <alignment horizontal="center" vertical="center"/>
    </xf>
    <xf numFmtId="164" fontId="9" fillId="2" borderId="0" xfId="3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164" fontId="9" fillId="2" borderId="5" xfId="3" applyNumberFormat="1" applyFont="1" applyFill="1" applyBorder="1" applyAlignment="1">
      <alignment vertical="center" wrapText="1"/>
    </xf>
    <xf numFmtId="164" fontId="9" fillId="13" borderId="5" xfId="3" applyNumberFormat="1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9" fontId="9" fillId="2" borderId="6" xfId="2" applyFont="1" applyFill="1" applyBorder="1" applyAlignment="1">
      <alignment horizontal="center"/>
    </xf>
    <xf numFmtId="9" fontId="9" fillId="2" borderId="6" xfId="2" applyFont="1" applyFill="1" applyBorder="1" applyAlignment="1">
      <alignment horizontal="center" vertical="center" wrapText="1"/>
    </xf>
    <xf numFmtId="0" fontId="23" fillId="12" borderId="0" xfId="0" quotePrefix="1" applyFont="1" applyFill="1"/>
    <xf numFmtId="0" fontId="51" fillId="0" borderId="0" xfId="0" applyFont="1" applyAlignment="1">
      <alignment horizontal="center"/>
    </xf>
    <xf numFmtId="0" fontId="52" fillId="9" borderId="0" xfId="0" applyFont="1" applyFill="1" applyAlignment="1">
      <alignment horizontal="center"/>
    </xf>
    <xf numFmtId="167" fontId="51" fillId="0" borderId="0" xfId="1" applyNumberFormat="1" applyFont="1"/>
    <xf numFmtId="167" fontId="52" fillId="0" borderId="0" xfId="1" applyNumberFormat="1" applyFont="1"/>
    <xf numFmtId="0" fontId="51" fillId="0" borderId="0" xfId="0" applyFont="1"/>
    <xf numFmtId="0" fontId="10" fillId="0" borderId="0" xfId="0" applyFont="1" applyAlignment="1">
      <alignment vertical="center" wrapText="1"/>
    </xf>
    <xf numFmtId="0" fontId="53" fillId="3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53" fillId="3" borderId="0" xfId="0" applyFont="1" applyFill="1" applyAlignment="1">
      <alignment vertical="center" wrapText="1"/>
    </xf>
    <xf numFmtId="0" fontId="10" fillId="0" borderId="4" xfId="0" applyFont="1" applyBorder="1" applyAlignment="1">
      <alignment horizontal="left" vertical="center" wrapText="1" indent="1"/>
    </xf>
    <xf numFmtId="170" fontId="10" fillId="0" borderId="0" xfId="0" applyNumberFormat="1" applyFont="1" applyAlignment="1">
      <alignment horizontal="right" vertical="center"/>
    </xf>
    <xf numFmtId="0" fontId="54" fillId="3" borderId="0" xfId="0" applyFont="1" applyFill="1" applyAlignment="1">
      <alignment horizontal="left" vertical="center" wrapText="1"/>
    </xf>
    <xf numFmtId="15" fontId="10" fillId="0" borderId="0" xfId="1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right"/>
    </xf>
    <xf numFmtId="170" fontId="10" fillId="0" borderId="0" xfId="1" applyNumberFormat="1" applyFont="1" applyFill="1" applyAlignment="1">
      <alignment horizontal="right"/>
    </xf>
    <xf numFmtId="170" fontId="9" fillId="0" borderId="0" xfId="1" applyNumberFormat="1" applyFont="1" applyFill="1" applyAlignment="1">
      <alignment horizontal="right"/>
    </xf>
    <xf numFmtId="170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170" fontId="10" fillId="0" borderId="0" xfId="0" applyNumberFormat="1" applyFont="1"/>
    <xf numFmtId="170" fontId="55" fillId="0" borderId="0" xfId="1" applyNumberFormat="1" applyFont="1" applyFill="1" applyAlignment="1">
      <alignment horizontal="right"/>
    </xf>
    <xf numFmtId="15" fontId="10" fillId="9" borderId="0" xfId="1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horizontal="right"/>
    </xf>
    <xf numFmtId="170" fontId="10" fillId="9" borderId="0" xfId="1" applyNumberFormat="1" applyFont="1" applyFill="1" applyAlignment="1">
      <alignment horizontal="right"/>
    </xf>
    <xf numFmtId="170" fontId="9" fillId="9" borderId="0" xfId="1" applyNumberFormat="1" applyFont="1" applyFill="1" applyAlignment="1">
      <alignment horizontal="right"/>
    </xf>
    <xf numFmtId="170" fontId="10" fillId="9" borderId="0" xfId="0" applyNumberFormat="1" applyFont="1" applyFill="1"/>
    <xf numFmtId="170" fontId="10" fillId="9" borderId="0" xfId="0" applyNumberFormat="1" applyFont="1" applyFill="1" applyAlignment="1">
      <alignment horizontal="right"/>
    </xf>
    <xf numFmtId="0" fontId="9" fillId="9" borderId="0" xfId="0" applyFont="1" applyFill="1" applyAlignment="1">
      <alignment horizontal="right"/>
    </xf>
    <xf numFmtId="170" fontId="10" fillId="9" borderId="0" xfId="0" applyNumberFormat="1" applyFont="1" applyFill="1" applyAlignment="1">
      <alignment horizontal="right" vertical="center"/>
    </xf>
    <xf numFmtId="3" fontId="10" fillId="9" borderId="0" xfId="0" applyNumberFormat="1" applyFont="1" applyFill="1" applyAlignment="1">
      <alignment horizontal="right" vertical="center"/>
    </xf>
    <xf numFmtId="164" fontId="10" fillId="9" borderId="1" xfId="3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164" fontId="45" fillId="9" borderId="0" xfId="5" applyNumberFormat="1" applyFont="1" applyFill="1" applyAlignment="1">
      <alignment wrapText="1"/>
    </xf>
    <xf numFmtId="164" fontId="9" fillId="9" borderId="0" xfId="3" applyNumberFormat="1" applyFont="1" applyFill="1" applyAlignment="1">
      <alignment wrapText="1"/>
    </xf>
    <xf numFmtId="10" fontId="9" fillId="9" borderId="0" xfId="2" applyNumberFormat="1" applyFont="1" applyFill="1" applyAlignment="1">
      <alignment horizontal="right" wrapText="1"/>
    </xf>
    <xf numFmtId="166" fontId="9" fillId="9" borderId="0" xfId="3" applyNumberFormat="1" applyFont="1" applyFill="1" applyAlignment="1">
      <alignment horizontal="right" wrapText="1"/>
    </xf>
    <xf numFmtId="9" fontId="9" fillId="9" borderId="0" xfId="2" applyFont="1" applyFill="1" applyAlignment="1">
      <alignment horizontal="right" wrapText="1"/>
    </xf>
    <xf numFmtId="164" fontId="9" fillId="9" borderId="0" xfId="3" applyNumberFormat="1" applyFont="1" applyFill="1" applyAlignment="1">
      <alignment horizontal="right" wrapText="1"/>
    </xf>
    <xf numFmtId="167" fontId="11" fillId="9" borderId="0" xfId="1" applyNumberFormat="1" applyFont="1" applyFill="1" applyAlignment="1">
      <alignment horizontal="center" wrapText="1"/>
    </xf>
    <xf numFmtId="164" fontId="9" fillId="9" borderId="0" xfId="3" applyNumberFormat="1" applyFont="1" applyFill="1" applyAlignment="1">
      <alignment vertical="center"/>
    </xf>
    <xf numFmtId="164" fontId="10" fillId="9" borderId="0" xfId="3" applyNumberFormat="1" applyFont="1" applyFill="1" applyAlignment="1">
      <alignment vertical="center"/>
    </xf>
    <xf numFmtId="0" fontId="23" fillId="9" borderId="0" xfId="0" applyFont="1" applyFill="1"/>
    <xf numFmtId="164" fontId="47" fillId="9" borderId="1" xfId="3" applyNumberFormat="1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164" fontId="48" fillId="9" borderId="1" xfId="3" applyNumberFormat="1" applyFont="1" applyFill="1" applyBorder="1" applyAlignment="1">
      <alignment vertical="center" wrapText="1"/>
    </xf>
    <xf numFmtId="164" fontId="48" fillId="9" borderId="1" xfId="3" applyNumberFormat="1" applyFont="1" applyFill="1" applyBorder="1" applyAlignment="1">
      <alignment wrapText="1"/>
    </xf>
    <xf numFmtId="3" fontId="49" fillId="9" borderId="1" xfId="0" applyNumberFormat="1" applyFont="1" applyFill="1" applyBorder="1"/>
    <xf numFmtId="164" fontId="49" fillId="9" borderId="1" xfId="3" applyNumberFormat="1" applyFont="1" applyFill="1" applyBorder="1" applyAlignment="1">
      <alignment vertical="center"/>
    </xf>
    <xf numFmtId="9" fontId="49" fillId="9" borderId="1" xfId="2" applyFont="1" applyFill="1" applyBorder="1"/>
    <xf numFmtId="164" fontId="10" fillId="9" borderId="1" xfId="3" applyNumberFormat="1" applyFont="1" applyFill="1" applyBorder="1" applyAlignment="1">
      <alignment wrapText="1"/>
    </xf>
    <xf numFmtId="3" fontId="9" fillId="9" borderId="1" xfId="0" applyNumberFormat="1" applyFont="1" applyFill="1" applyBorder="1"/>
    <xf numFmtId="9" fontId="9" fillId="9" borderId="1" xfId="2" applyFont="1" applyFill="1" applyBorder="1"/>
    <xf numFmtId="0" fontId="20" fillId="13" borderId="0" xfId="5" applyFill="1" applyAlignment="1">
      <alignment horizontal="left" vertical="top" wrapText="1"/>
    </xf>
    <xf numFmtId="0" fontId="41" fillId="13" borderId="0" xfId="0" applyFont="1" applyFill="1" applyAlignment="1">
      <alignment horizontal="left" vertical="top" wrapText="1"/>
    </xf>
    <xf numFmtId="0" fontId="40" fillId="13" borderId="0" xfId="0" applyFont="1" applyFill="1" applyAlignment="1">
      <alignment horizontal="left" vertical="top" wrapText="1"/>
    </xf>
    <xf numFmtId="0" fontId="38" fillId="9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30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7" fillId="12" borderId="1" xfId="2" applyNumberFormat="1" applyFont="1" applyFill="1" applyBorder="1" applyAlignment="1">
      <alignment horizontal="center" vertical="center" wrapText="1"/>
    </xf>
    <xf numFmtId="10" fontId="50" fillId="12" borderId="2" xfId="2" applyNumberFormat="1" applyFont="1" applyFill="1" applyBorder="1" applyAlignment="1">
      <alignment horizontal="center" vertical="center" wrapText="1"/>
    </xf>
    <xf numFmtId="10" fontId="50" fillId="12" borderId="4" xfId="2" applyNumberFormat="1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4" fontId="7" fillId="12" borderId="2" xfId="3" applyNumberFormat="1" applyFont="1" applyFill="1" applyBorder="1" applyAlignment="1">
      <alignment horizontal="center" vertical="center" wrapText="1"/>
    </xf>
    <xf numFmtId="164" fontId="7" fillId="12" borderId="4" xfId="3" applyNumberFormat="1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166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EF6663"/>
      <color rgb="FFCAD1DC"/>
      <color rgb="FFE3E7ED"/>
      <color rgb="FFD1D1D1"/>
      <color rgb="FF6FAB47"/>
      <color rgb="FFAED395"/>
      <color rgb="FF95C575"/>
      <color rgb="FFE92823"/>
      <color rgb="FFFF3B0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1549936358354926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hiddenPage!$F$1:$H$1</c:f>
              <c:strCache>
                <c:ptCount val="3"/>
                <c:pt idx="0">
                  <c:v>3 Months 2021</c:v>
                </c:pt>
                <c:pt idx="1">
                  <c:v>3 Months 2022</c:v>
                </c:pt>
                <c:pt idx="2">
                  <c:v>3 Months 2023</c:v>
                </c:pt>
              </c:strCache>
            </c:strRef>
          </c:cat>
          <c:val>
            <c:numRef>
              <c:f>'3.Profit or loss statement'!$C$4:$E$4</c:f>
              <c:numCache>
                <c:formatCode>_(* #,##0_);_(* \(#,##0\);_(* "-"_);_(@_)</c:formatCode>
                <c:ptCount val="3"/>
                <c:pt idx="0">
                  <c:v>73843980.703151584</c:v>
                </c:pt>
                <c:pt idx="1">
                  <c:v>95365144.089409724</c:v>
                </c:pt>
                <c:pt idx="2">
                  <c:v>89872750.660000011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Snapshots!$C$9:$E$9</c:f>
              <c:numCache>
                <c:formatCode>_(* #,##0_);_(* \(#,##0\);_(* "-"_);_(@_)</c:formatCode>
                <c:ptCount val="3"/>
                <c:pt idx="0">
                  <c:v>3901984.9507479719</c:v>
                </c:pt>
                <c:pt idx="1">
                  <c:v>6572210.8305392191</c:v>
                </c:pt>
                <c:pt idx="2">
                  <c:v>2824874.7638460919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Snapshots!$B$11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5775516496304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7-43C7-BACF-6AD628FF3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Snapshots!$C$11:$E$11</c:f>
              <c:numCache>
                <c:formatCode>_(* #,##0_);_(* \(#,##0\);_(* "-"_);_(@_)</c:formatCode>
                <c:ptCount val="3"/>
                <c:pt idx="0">
                  <c:v>602170.24386207212</c:v>
                </c:pt>
                <c:pt idx="1">
                  <c:v>4471703.7805453883</c:v>
                </c:pt>
                <c:pt idx="2">
                  <c:v>2837415.2872605845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4172668493846"/>
          <c:y val="3.1265923703364902E-2"/>
          <c:w val="0.41506896752444017"/>
          <c:h val="4.7967318691207295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  <a:latin typeface="Candara" panose="020E0502030303020204" pitchFamily="34" charset="0"/>
              </a:rPr>
              <a:t>Evolution of the item "Revenue (Sales)"</a:t>
            </a:r>
          </a:p>
        </c:rich>
      </c:tx>
      <c:layout>
        <c:manualLayout>
          <c:xMode val="edge"/>
          <c:yMode val="edge"/>
          <c:x val="0.2585422021656451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73843980.703151584</c:v>
                </c:pt>
                <c:pt idx="1">
                  <c:v>95365144.089409724</c:v>
                </c:pt>
                <c:pt idx="2">
                  <c:v>89872750.660000011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6-43C7-B38A-8DB6781E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liabilities vs. Total current assets</c:v>
            </c:pt>
          </c:strCache>
        </c:strRef>
      </c:tx>
      <c:layout>
        <c:manualLayout>
          <c:xMode val="edge"/>
          <c:yMode val="edge"/>
          <c:x val="0.22797921688360384"/>
          <c:y val="9.4269692466396396E-3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472430231935297"/>
          <c:y val="0.16345846554996626"/>
          <c:w val="0.75472023139964661"/>
          <c:h val="0.6180413822015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EF666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hiddenPage!$F$4:$H$4</c:f>
              <c:numCache>
                <c:formatCode>_-* #,##0_-;\-* #,##0_-;_-* "-"??_-;_-@_-</c:formatCode>
                <c:ptCount val="3"/>
                <c:pt idx="0">
                  <c:v>111507663.43184982</c:v>
                </c:pt>
                <c:pt idx="1">
                  <c:v>141694421.28184986</c:v>
                </c:pt>
                <c:pt idx="2">
                  <c:v>104958049.41862017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hiddenPage!$F$5:$H$5</c:f>
              <c:numCache>
                <c:formatCode>_-* #,##0_-;\-* #,##0_-;_-* "-"??_-;_-@_-</c:formatCode>
                <c:ptCount val="3"/>
                <c:pt idx="0">
                  <c:v>115868481.38333496</c:v>
                </c:pt>
                <c:pt idx="1">
                  <c:v>148386732.48629877</c:v>
                </c:pt>
                <c:pt idx="2">
                  <c:v>170485095.26836845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455460924527222E-3"/>
          <c:y val="0.88172387767934923"/>
          <c:w val="0.9415257378541968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as at  31 March 2023</c:v>
            </c:pt>
          </c:strCache>
        </c:strRef>
      </c:tx>
      <c:layout>
        <c:manualLayout>
          <c:xMode val="edge"/>
          <c:yMode val="edge"/>
          <c:x val="0.40749939460436985"/>
          <c:y val="2.42106828787625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63,291,252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{AD91A939-29E1-460B-AB10-A6B35384AF32}</c15:txfldGUID>
                      <c15:f>hiddenPage!$R$16</c15:f>
                      <c15:dlblFieldTableCache>
                        <c:ptCount val="1"/>
                        <c:pt idx="0">
                          <c:v> 63,291,252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62,075,651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{DC5D8D8E-3E94-461B-8C11-0B7CFE26054F}</c15:txfldGUID>
                      <c15:f>hiddenPage!$R$17</c15:f>
                      <c15:dlblFieldTableCache>
                        <c:ptCount val="1"/>
                        <c:pt idx="0">
                          <c:v> 62,075,651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42,425,779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{475BA62F-F753-4494-A5CD-D54066A15BA6}</c15:txfldGUID>
                      <c15:f>hiddenPage!$R$18</c15:f>
                      <c15:dlblFieldTableCache>
                        <c:ptCount val="1"/>
                        <c:pt idx="0">
                          <c:v> 42,425,779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2,692,413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{B2C7CA04-B536-4894-B08A-BAB07B48FEE8}</c15:txfldGUID>
                      <c15:f>hiddenPage!$R$19</c15:f>
                      <c15:dlblFieldTableCache>
                        <c:ptCount val="1"/>
                        <c:pt idx="0">
                          <c:v> 2,692,413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{541AA966-E4EA-4DCF-BDF9-060FEB02D68D}</c15:txfldGUID>
                      <c15:f>hiddenPage!$R$20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{2C0B1508-E4E4-468F-AAE1-8B295E0D32A8}</c15:txfldGUID>
                      <c15:f>hiddenPage!$R$21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6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Cash and cash equivalents</c:v>
                </c:pt>
                <c:pt idx="3">
                  <c:v>Other current non-financial assets</c:v>
                </c:pt>
                <c:pt idx="5">
                  <c:v>Non-current assets or disposal groups classified as held for sale or as held for distribution to owners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0.37124214522023913</c:v>
                </c:pt>
                <c:pt idx="1">
                  <c:v>0.36411189694885859</c:v>
                </c:pt>
                <c:pt idx="2">
                  <c:v>0.24885330104579304</c:v>
                </c:pt>
                <c:pt idx="3">
                  <c:v>1.5792659541948511E-2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353515159697"/>
          <c:y val="0.11351708446314157"/>
          <c:w val="0.56147878817204488"/>
          <c:h val="0.83518252217263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0.18474315912978989"/>
                  <c:y val="-0.16809441523585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7.5167478178949226E-2"/>
                  <c:y val="0.12504356777822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"lei"#,##0_);\("lei"#,##0\)</c:formatCode>
                <c:ptCount val="2"/>
                <c:pt idx="0">
                  <c:v>130377387.57184985</c:v>
                </c:pt>
                <c:pt idx="1">
                  <c:v>172675743.60079348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18519990898194721"/>
          <c:y val="1.365233816887661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8.4300179654819327E-2"/>
          <c:y val="0.15712743896531589"/>
          <c:w val="0.91569982034518072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hiddenPage!$F$41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{E5B00B26-D374-429B-85B5-FC6814A3CD7D}</c15:txfldGUID>
                      <c15:f>hiddenPage!$F$41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37-4A67-8CDA-595CBAA78A11}"/>
                </c:ext>
              </c:extLst>
            </c:dLbl>
            <c:dLbl>
              <c:idx val="1"/>
              <c:tx>
                <c:strRef>
                  <c:f>hiddenPage!$G$41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{EEA0583D-7EC5-4E92-A754-A2C3F70788E8}</c15:txfldGUID>
                      <c15:f>hiddenPage!$G$41</c15:f>
                      <c15:dlblFieldTableCache>
                        <c:ptCount val="1"/>
                        <c:pt idx="0">
                          <c:v>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37-4A67-8CDA-595CBAA78A11}"/>
                </c:ext>
              </c:extLst>
            </c:dLbl>
            <c:dLbl>
              <c:idx val="2"/>
              <c:tx>
                <c:strRef>
                  <c:f>hiddenPage!$H$41</c:f>
                  <c:strCache>
                    <c:ptCount val="1"/>
                    <c:pt idx="0">
                      <c:v>43%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{ED016044-9E0F-47E6-8CCE-8EC9765FBF37}</c15:txfldGUID>
                      <c15:f>hiddenPage!$H$41</c15:f>
                      <c15:dlblFieldTableCache>
                        <c:ptCount val="1"/>
                        <c:pt idx="0">
                          <c:v>43%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hiddenPage!$F$10:$H$10</c:f>
              <c:numCache>
                <c:formatCode>_-* #,##0_-;\-* #,##0_-;_-* "-"??_-;_-@_-</c:formatCode>
                <c:ptCount val="3"/>
                <c:pt idx="0">
                  <c:v>154898460.11184981</c:v>
                </c:pt>
                <c:pt idx="1">
                  <c:v>171299687.52184987</c:v>
                </c:pt>
                <c:pt idx="2">
                  <c:v>130377387.57184985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hiddenPage!$F$42</c:f>
                  <c:strCache>
                    <c:ptCount val="1"/>
                    <c:pt idx="0">
                      <c:v>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{65CB57F9-B408-401B-BBE2-BE21CD8747D7}</c15:txfldGUID>
                      <c15:f>hiddenPage!$F$42</c15:f>
                      <c15:dlblFieldTableCache>
                        <c:ptCount val="1"/>
                        <c:pt idx="0">
                          <c:v>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37-4A67-8CDA-595CBAA78A11}"/>
                </c:ext>
              </c:extLst>
            </c:dLbl>
            <c:dLbl>
              <c:idx val="1"/>
              <c:tx>
                <c:strRef>
                  <c:f>hiddenPage!$G$42</c:f>
                  <c:strCache>
                    <c:ptCount val="1"/>
                    <c:pt idx="0">
                      <c:v>46%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{87E8F3FC-8B37-425B-81D0-2386FE94EDA7}</c15:txfldGUID>
                      <c15:f>hiddenPage!$G$42</c15:f>
                      <c15:dlblFieldTableCache>
                        <c:ptCount val="1"/>
                        <c:pt idx="0">
                          <c:v>46%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337-4A67-8CDA-595CBAA78A11}"/>
                </c:ext>
              </c:extLst>
            </c:dLbl>
            <c:dLbl>
              <c:idx val="2"/>
              <c:tx>
                <c:strRef>
                  <c:f>hiddenPage!$H$42</c:f>
                  <c:strCache>
                    <c:ptCount val="1"/>
                    <c:pt idx="0">
                      <c:v>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{F893021E-6DC8-4E9D-A50E-8E5E5C1C6960}</c15:txfldGUID>
                      <c15:f>hiddenPage!$H$42</c15:f>
                      <c15:dlblFieldTableCache>
                        <c:ptCount val="1"/>
                        <c:pt idx="0">
                          <c:v>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hiddenPage!$F$11:$H$11</c:f>
              <c:numCache>
                <c:formatCode>_-* #,##0_-;\-* #,##0_-;_-* "-"??_-;_-@_-</c:formatCode>
                <c:ptCount val="3"/>
                <c:pt idx="0">
                  <c:v>140351897.00104311</c:v>
                </c:pt>
                <c:pt idx="1">
                  <c:v>143437963.1610069</c:v>
                </c:pt>
                <c:pt idx="2">
                  <c:v>172675743.60079348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xVal>
          <c:yVal>
            <c:numRef>
              <c:f>hiddenPage!$F$12:$H$12</c:f>
              <c:numCache>
                <c:formatCode>_-* #,##0_-;\-* #,##0_-;_-* "-"??_-;_-@_-</c:formatCode>
                <c:ptCount val="3"/>
                <c:pt idx="0">
                  <c:v>295250357.11289293</c:v>
                </c:pt>
                <c:pt idx="1">
                  <c:v>314737650.6828568</c:v>
                </c:pt>
                <c:pt idx="2">
                  <c:v>303053131.1726433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337-4A67-8CDA-595CBAA7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3649410051392E-3"/>
          <c:y val="0.89776428988043167"/>
          <c:w val="0.99148635058994861"/>
          <c:h val="7.9533739325992822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hiddenPage!$A$48</c:f>
          <c:strCache>
            <c:ptCount val="1"/>
            <c:pt idx="0">
              <c:v>The evolution of the item Current assets during the period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726851851851853"/>
          <c:w val="0.93888888888888888"/>
          <c:h val="0.6453320939049285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hiddenPage!$F$45:$H$45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hiddenPage!$F$46:$H$46</c:f>
              <c:numCache>
                <c:formatCode>_-* #,##0_-;\-* #,##0_-;_-* "-"??_-;_-@_-</c:formatCode>
                <c:ptCount val="3"/>
                <c:pt idx="0">
                  <c:v>115868481.38333496</c:v>
                </c:pt>
                <c:pt idx="1">
                  <c:v>148386732.48629877</c:v>
                </c:pt>
                <c:pt idx="2">
                  <c:v>170485095.26836845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EAF-968E-80EE7724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655599"/>
        <c:axId val="1665629391"/>
      </c:lineChart>
      <c:catAx>
        <c:axId val="166565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5629391"/>
        <c:crosses val="autoZero"/>
        <c:auto val="1"/>
        <c:lblAlgn val="ctr"/>
        <c:lblOffset val="100"/>
        <c:noMultiLvlLbl val="0"/>
      </c:catAx>
      <c:valAx>
        <c:axId val="166562939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6565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Profit or loss statement'!A1"/><Relationship Id="rId7" Type="http://schemas.openxmlformats.org/officeDocument/2006/relationships/hyperlink" Target="#'2.FinancialPosition-Comparison'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hyperlink" Target="#Charts!A1"/><Relationship Id="rId5" Type="http://schemas.openxmlformats.org/officeDocument/2006/relationships/chart" Target="../charts/chart1.xml"/><Relationship Id="rId4" Type="http://schemas.openxmlformats.org/officeDocument/2006/relationships/hyperlink" Target="#'4.Financial ratios'!A1"/><Relationship Id="rId9" Type="http://schemas.openxmlformats.org/officeDocument/2006/relationships/hyperlink" Target="#'4.Statement of Cash-Flow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hyperlink" Target="#Contents!H6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239184</xdr:colOff>
      <xdr:row>10</xdr:row>
      <xdr:rowOff>150286</xdr:rowOff>
    </xdr:from>
    <xdr:to>
      <xdr:col>23</xdr:col>
      <xdr:colOff>596900</xdr:colOff>
      <xdr:row>12</xdr:row>
      <xdr:rowOff>190503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433051" y="1894419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246591</xdr:colOff>
      <xdr:row>13</xdr:row>
      <xdr:rowOff>35985</xdr:rowOff>
    </xdr:from>
    <xdr:to>
      <xdr:col>23</xdr:col>
      <xdr:colOff>604608</xdr:colOff>
      <xdr:row>15</xdr:row>
      <xdr:rowOff>95900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440458" y="2465918"/>
          <a:ext cx="2059817" cy="48324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191558</xdr:colOff>
      <xdr:row>10</xdr:row>
      <xdr:rowOff>130174</xdr:rowOff>
    </xdr:from>
    <xdr:to>
      <xdr:col>27</xdr:col>
      <xdr:colOff>371775</xdr:colOff>
      <xdr:row>12</xdr:row>
      <xdr:rowOff>175274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2713758" y="1874307"/>
          <a:ext cx="2059817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PROFIT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OR LOSS ACCOUNT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179917</xdr:colOff>
      <xdr:row>13</xdr:row>
      <xdr:rowOff>48683</xdr:rowOff>
    </xdr:from>
    <xdr:to>
      <xdr:col>27</xdr:col>
      <xdr:colOff>360134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2702117" y="2478616"/>
          <a:ext cx="2059817" cy="5022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203199</xdr:colOff>
      <xdr:row>16</xdr:row>
      <xdr:rowOff>19049</xdr:rowOff>
    </xdr:from>
    <xdr:to>
      <xdr:col>27</xdr:col>
      <xdr:colOff>383416</xdr:colOff>
      <xdr:row>18</xdr:row>
      <xdr:rowOff>121299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2725399" y="3067049"/>
          <a:ext cx="2059817" cy="4917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>
    <xdr:from>
      <xdr:col>20</xdr:col>
      <xdr:colOff>268815</xdr:colOff>
      <xdr:row>16</xdr:row>
      <xdr:rowOff>10581</xdr:rowOff>
    </xdr:from>
    <xdr:to>
      <xdr:col>24</xdr:col>
      <xdr:colOff>299</xdr:colOff>
      <xdr:row>18</xdr:row>
      <xdr:rowOff>81080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10462682" y="3058581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0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 COMPARISON</a:t>
          </a:r>
          <a:endParaRPr lang="en-GB" sz="100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15</xdr:col>
      <xdr:colOff>531283</xdr:colOff>
      <xdr:row>1</xdr:row>
      <xdr:rowOff>56092</xdr:rowOff>
    </xdr:from>
    <xdr:to>
      <xdr:col>19</xdr:col>
      <xdr:colOff>414867</xdr:colOff>
      <xdr:row>3</xdr:row>
      <xdr:rowOff>186055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42CCAFAD-A1AD-467D-99A6-A1CAA39F242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683" y="157692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296332</xdr:colOff>
      <xdr:row>19</xdr:row>
      <xdr:rowOff>0</xdr:rowOff>
    </xdr:from>
    <xdr:to>
      <xdr:col>24</xdr:col>
      <xdr:colOff>27816</xdr:colOff>
      <xdr:row>21</xdr:row>
      <xdr:rowOff>70499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74C7DEE-1669-493C-8015-19523F1806BA}"/>
            </a:ext>
          </a:extLst>
        </xdr:cNvPr>
        <xdr:cNvSpPr/>
      </xdr:nvSpPr>
      <xdr:spPr>
        <a:xfrm>
          <a:off x="10490199" y="3505200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CASH - FLOW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170,485,095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321945</xdr:colOff>
      <xdr:row>1</xdr:row>
      <xdr:rowOff>161925</xdr:rowOff>
    </xdr:from>
    <xdr:to>
      <xdr:col>6</xdr:col>
      <xdr:colOff>557917</xdr:colOff>
      <xdr:row>2</xdr:row>
      <xdr:rowOff>228600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1862D-4882-4FBA-9D2B-056665464097}"/>
            </a:ext>
          </a:extLst>
        </xdr:cNvPr>
        <xdr:cNvSpPr/>
      </xdr:nvSpPr>
      <xdr:spPr>
        <a:xfrm>
          <a:off x="9915525" y="344805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106680</xdr:rowOff>
    </xdr:from>
    <xdr:to>
      <xdr:col>17</xdr:col>
      <xdr:colOff>347132</xdr:colOff>
      <xdr:row>19</xdr:row>
      <xdr:rowOff>160866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8A9C5C-1E4D-4454-801A-A0D9899B7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329354</xdr:colOff>
      <xdr:row>20</xdr:row>
      <xdr:rowOff>82126</xdr:rowOff>
    </xdr:from>
    <xdr:to>
      <xdr:col>17</xdr:col>
      <xdr:colOff>381000</xdr:colOff>
      <xdr:row>35</xdr:row>
      <xdr:rowOff>38523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11DC23-E5D2-4001-BB5D-2F7403E45B10}"/>
            </a:ext>
          </a:extLst>
        </xdr:cNvPr>
        <xdr:cNvGrpSpPr/>
      </xdr:nvGrpSpPr>
      <xdr:grpSpPr>
        <a:xfrm>
          <a:off x="7644554" y="4349326"/>
          <a:ext cx="5538046" cy="2785322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F783DEEF-3054-4579-9EB9-4E0002C56EDC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530A772A-60C7-424A-B7C7-AFA04CE0B5E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6">
                <a:lumMod val="7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J$20">
        <xdr:nvSpPr>
          <xdr:cNvPr id="10" name="Oval 9">
            <a:extLst>
              <a:ext uri="{FF2B5EF4-FFF2-40B4-BE49-F238E27FC236}">
                <a16:creationId xmlns:a16="http://schemas.microsoft.com/office/drawing/2014/main" id="{CC5783A5-1797-42C5-8F28-FF099CA9DE87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073DE5C-DB10-49D5-965A-DDFF33B0D1CF}" type="TxLink">
              <a:rPr lang="en-US" sz="1100" b="0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22%</a:t>
            </a:fld>
            <a:endParaRPr lang="ro-RO" sz="10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860812</xdr:colOff>
      <xdr:row>2</xdr:row>
      <xdr:rowOff>257175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E3DFD-A967-407B-8522-4C2D86C1EAA5}"/>
            </a:ext>
          </a:extLst>
        </xdr:cNvPr>
        <xdr:cNvSpPr/>
      </xdr:nvSpPr>
      <xdr:spPr>
        <a:xfrm>
          <a:off x="11140440" y="3733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525780</xdr:colOff>
      <xdr:row>0</xdr:row>
      <xdr:rowOff>106680</xdr:rowOff>
    </xdr:from>
    <xdr:to>
      <xdr:col>20</xdr:col>
      <xdr:colOff>464572</xdr:colOff>
      <xdr:row>2</xdr:row>
      <xdr:rowOff>51435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D2096-0AD5-4931-9EEF-9284CF29DB8A}"/>
            </a:ext>
          </a:extLst>
        </xdr:cNvPr>
        <xdr:cNvSpPr/>
      </xdr:nvSpPr>
      <xdr:spPr>
        <a:xfrm>
          <a:off x="12633960" y="1066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505408</xdr:colOff>
      <xdr:row>0</xdr:row>
      <xdr:rowOff>54428</xdr:rowOff>
    </xdr:from>
    <xdr:to>
      <xdr:col>7</xdr:col>
      <xdr:colOff>495363</xdr:colOff>
      <xdr:row>1</xdr:row>
      <xdr:rowOff>124991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1289-723F-4FC6-87BE-2262D2C9BF39}"/>
            </a:ext>
          </a:extLst>
        </xdr:cNvPr>
        <xdr:cNvSpPr/>
      </xdr:nvSpPr>
      <xdr:spPr>
        <a:xfrm>
          <a:off x="9680510" y="54428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0</xdr:row>
      <xdr:rowOff>83820</xdr:rowOff>
    </xdr:from>
    <xdr:to>
      <xdr:col>6</xdr:col>
      <xdr:colOff>434092</xdr:colOff>
      <xdr:row>1</xdr:row>
      <xdr:rowOff>158115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6A369-D37E-444B-AA0E-522FE3BC6847}"/>
            </a:ext>
          </a:extLst>
        </xdr:cNvPr>
        <xdr:cNvSpPr/>
      </xdr:nvSpPr>
      <xdr:spPr>
        <a:xfrm>
          <a:off x="7680960" y="83820"/>
          <a:ext cx="8989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746760</xdr:colOff>
      <xdr:row>0</xdr:row>
      <xdr:rowOff>38100</xdr:rowOff>
    </xdr:from>
    <xdr:to>
      <xdr:col>5</xdr:col>
      <xdr:colOff>7372</xdr:colOff>
      <xdr:row>1</xdr:row>
      <xdr:rowOff>112395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4497-658D-41C8-ABFC-BB7BFAF2AA9C}"/>
            </a:ext>
          </a:extLst>
        </xdr:cNvPr>
        <xdr:cNvSpPr/>
      </xdr:nvSpPr>
      <xdr:spPr>
        <a:xfrm>
          <a:off x="8420100" y="3810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8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911</xdr:colOff>
      <xdr:row>21</xdr:row>
      <xdr:rowOff>84215</xdr:rowOff>
    </xdr:from>
    <xdr:to>
      <xdr:col>13</xdr:col>
      <xdr:colOff>267164</xdr:colOff>
      <xdr:row>36</xdr:row>
      <xdr:rowOff>147205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3714</xdr:colOff>
      <xdr:row>2</xdr:row>
      <xdr:rowOff>112145</xdr:rowOff>
    </xdr:from>
    <xdr:to>
      <xdr:col>24</xdr:col>
      <xdr:colOff>322286</xdr:colOff>
      <xdr:row>18</xdr:row>
      <xdr:rowOff>47116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BA4D5FB-7453-4769-83AE-ED98950C7758}"/>
            </a:ext>
          </a:extLst>
        </xdr:cNvPr>
        <xdr:cNvGrpSpPr/>
      </xdr:nvGrpSpPr>
      <xdr:grpSpPr>
        <a:xfrm>
          <a:off x="10444928" y="393359"/>
          <a:ext cx="4074144" cy="2719900"/>
          <a:chOff x="9891129" y="401225"/>
          <a:chExt cx="4054219" cy="2787803"/>
        </a:xfrm>
        <a:solidFill>
          <a:schemeClr val="bg2">
            <a:lumMod val="9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9891129" y="401225"/>
          <a:ext cx="4045572" cy="278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9907679" y="401480"/>
            <a:ext cx="4037669" cy="168606"/>
          </a:xfrm>
          <a:prstGeom prst="rect">
            <a:avLst/>
          </a:prstGeom>
          <a:solidFill>
            <a:schemeClr val="bg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64E07C3-4D6B-454C-91F8-F3C2B8D7046F}" type="TxLink">
              <a:rPr lang="en-US" sz="1100" b="0" i="0" u="none" strike="noStrike">
                <a:solidFill>
                  <a:srgbClr val="000000"/>
                </a:solidFill>
                <a:latin typeface="Candara"/>
              </a:rPr>
              <a:pPr algn="ctr"/>
              <a:t>Structure of Equity&amp;Liabilities in 2023</a:t>
            </a:fld>
            <a:endParaRPr lang="en-US" sz="1050" b="1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25977</xdr:colOff>
      <xdr:row>2</xdr:row>
      <xdr:rowOff>98241</xdr:rowOff>
    </xdr:from>
    <xdr:to>
      <xdr:col>17</xdr:col>
      <xdr:colOff>119228</xdr:colOff>
      <xdr:row>18</xdr:row>
      <xdr:rowOff>4644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01F76D4-61D9-4ED2-889A-1804297F9513}"/>
            </a:ext>
          </a:extLst>
        </xdr:cNvPr>
        <xdr:cNvGrpSpPr/>
      </xdr:nvGrpSpPr>
      <xdr:grpSpPr>
        <a:xfrm>
          <a:off x="5759120" y="379455"/>
          <a:ext cx="4547322" cy="2691332"/>
          <a:chOff x="5489125" y="386314"/>
          <a:chExt cx="4266616" cy="2759257"/>
        </a:xfrm>
        <a:solidFill>
          <a:schemeClr val="bg2">
            <a:lumMod val="75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489125" y="386314"/>
          <a:ext cx="4266616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1.FinancialPosition'!B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497654" y="1450815"/>
            <a:ext cx="2300530" cy="23633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31 March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0</xdr:colOff>
      <xdr:row>2</xdr:row>
      <xdr:rowOff>95250</xdr:rowOff>
    </xdr:from>
    <xdr:to>
      <xdr:col>26</xdr:col>
      <xdr:colOff>237357</xdr:colOff>
      <xdr:row>4</xdr:row>
      <xdr:rowOff>109971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C2CDB8-B5A7-4FCD-88DC-4DB8C6CFC0DD}"/>
            </a:ext>
          </a:extLst>
        </xdr:cNvPr>
        <xdr:cNvSpPr/>
      </xdr:nvSpPr>
      <xdr:spPr>
        <a:xfrm>
          <a:off x="14781068" y="372341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13</xdr:col>
      <xdr:colOff>425120</xdr:colOff>
      <xdr:row>21</xdr:row>
      <xdr:rowOff>36285</xdr:rowOff>
    </xdr:from>
    <xdr:to>
      <xdr:col>21</xdr:col>
      <xdr:colOff>374832</xdr:colOff>
      <xdr:row>37</xdr:row>
      <xdr:rowOff>18141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7A6DDBD-0C27-4425-927A-2EDF16844274}"/>
            </a:ext>
          </a:extLst>
        </xdr:cNvPr>
        <xdr:cNvGrpSpPr/>
      </xdr:nvGrpSpPr>
      <xdr:grpSpPr>
        <a:xfrm>
          <a:off x="8108620" y="3628571"/>
          <a:ext cx="4585212" cy="2766784"/>
          <a:chOff x="8108620" y="3628571"/>
          <a:chExt cx="4585212" cy="2766784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FD9ABCC-0341-4980-8CF4-DA3908D8D75B}"/>
              </a:ext>
            </a:extLst>
          </xdr:cNvPr>
          <xdr:cNvGraphicFramePr/>
        </xdr:nvGraphicFramePr>
        <xdr:xfrm>
          <a:off x="8121832" y="363020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1.FinancialPosition'!B1">
        <xdr:nvSpPr>
          <xdr:cNvPr id="15" name="Rectangle 14">
            <a:extLst>
              <a:ext uri="{FF2B5EF4-FFF2-40B4-BE49-F238E27FC236}">
                <a16:creationId xmlns:a16="http://schemas.microsoft.com/office/drawing/2014/main" id="{CC0D7F6C-0167-46AD-92A4-A285B1591CDF}"/>
              </a:ext>
            </a:extLst>
          </xdr:cNvPr>
          <xdr:cNvSpPr/>
        </xdr:nvSpPr>
        <xdr:spPr>
          <a:xfrm rot="16200000">
            <a:off x="6893669" y="4843522"/>
            <a:ext cx="2766784" cy="33688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31 March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0.00649</cdr:x>
      <cdr:y>0.02009</cdr:y>
    </cdr:from>
    <cdr:to>
      <cdr:x>0.05844</cdr:x>
      <cdr:y>0.83961</cdr:y>
    </cdr:to>
    <cdr:sp macro="" textlink="'1.FinancialPosition'!$B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1632" y="962596"/>
          <a:ext cx="2066335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31 March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eports-and-information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X31"/>
  <sheetViews>
    <sheetView showGridLines="0" tabSelected="1" zoomScale="90" zoomScaleNormal="90" workbookViewId="0">
      <selection activeCell="AA24" sqref="AA24"/>
    </sheetView>
  </sheetViews>
  <sheetFormatPr defaultColWidth="9.109375" defaultRowHeight="14.4" x14ac:dyDescent="0.3"/>
  <cols>
    <col min="1" max="1" width="6.109375" style="105" customWidth="1"/>
    <col min="2" max="2" width="3.5546875" style="105" customWidth="1"/>
    <col min="3" max="3" width="2.109375" style="105" customWidth="1"/>
    <col min="4" max="4" width="4.33203125" style="105" customWidth="1"/>
    <col min="5" max="5" width="4.5546875" style="105" customWidth="1"/>
    <col min="6" max="6" width="2.44140625" style="105" customWidth="1"/>
    <col min="7" max="7" width="3.6640625" style="105" customWidth="1"/>
    <col min="8" max="10" width="11.33203125" style="105" customWidth="1"/>
    <col min="11" max="18" width="9.109375" style="105"/>
    <col min="19" max="19" width="5.44140625" style="105" customWidth="1"/>
    <col min="20" max="21" width="9.109375" style="105"/>
    <col min="22" max="22" width="8" style="105" customWidth="1"/>
    <col min="23" max="23" width="7.6640625" style="105" customWidth="1"/>
    <col min="24" max="16384" width="9.109375" style="105"/>
  </cols>
  <sheetData>
    <row r="1" spans="1:20" ht="8.25" customHeight="1" x14ac:dyDescent="0.3">
      <c r="A1" s="104"/>
      <c r="B1" s="104"/>
      <c r="C1" s="104"/>
      <c r="D1" s="104"/>
      <c r="E1" s="104"/>
      <c r="F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0" x14ac:dyDescent="0.3">
      <c r="B2" s="104"/>
      <c r="C2" s="104"/>
      <c r="D2" s="104"/>
      <c r="E2" s="104"/>
      <c r="F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20" x14ac:dyDescent="0.3">
      <c r="A3" s="104"/>
      <c r="B3" s="104"/>
      <c r="C3" s="104"/>
      <c r="D3" s="104"/>
      <c r="E3" s="104"/>
      <c r="F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0" x14ac:dyDescent="0.3">
      <c r="A4" s="104"/>
      <c r="B4" s="104"/>
      <c r="C4" s="104"/>
      <c r="D4" s="104"/>
      <c r="E4" s="104"/>
      <c r="F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0" ht="9.75" customHeight="1" x14ac:dyDescent="0.3">
      <c r="A5" s="104"/>
      <c r="B5" s="104"/>
      <c r="C5" s="104"/>
      <c r="D5" s="104"/>
      <c r="E5" s="106"/>
      <c r="F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20" ht="6" customHeight="1" x14ac:dyDescent="0.3">
      <c r="A6" s="104"/>
      <c r="B6" s="104"/>
      <c r="C6" s="104"/>
      <c r="D6" s="104"/>
      <c r="E6" s="106"/>
      <c r="F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20" ht="8.4" customHeight="1" x14ac:dyDescent="0.3">
      <c r="A7" s="107"/>
    </row>
    <row r="8" spans="1:20" ht="21" x14ac:dyDescent="0.4">
      <c r="H8" s="224" t="s">
        <v>275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</row>
    <row r="9" spans="1:20" ht="12.75" customHeight="1" x14ac:dyDescent="0.45"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</row>
    <row r="10" spans="1:20" ht="17.399999999999999" customHeight="1" x14ac:dyDescent="0.45"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1:20" ht="18" x14ac:dyDescent="0.35">
      <c r="K11" s="108"/>
      <c r="L11" s="108"/>
      <c r="M11" s="108"/>
      <c r="N11" s="108"/>
      <c r="O11" s="108"/>
      <c r="P11" s="109"/>
      <c r="Q11" s="108"/>
      <c r="R11" s="108"/>
      <c r="S11" s="109"/>
      <c r="T11" s="110"/>
    </row>
    <row r="12" spans="1:20" ht="18" x14ac:dyDescent="0.35">
      <c r="K12" s="108"/>
      <c r="L12" s="108"/>
      <c r="M12" s="108"/>
      <c r="N12" s="108"/>
      <c r="O12" s="108"/>
      <c r="P12" s="108"/>
      <c r="S12" s="111"/>
      <c r="T12" s="111"/>
    </row>
    <row r="13" spans="1:20" ht="18" x14ac:dyDescent="0.35">
      <c r="K13" s="108"/>
      <c r="L13" s="108"/>
      <c r="M13" s="108"/>
      <c r="N13" s="108"/>
      <c r="O13" s="108"/>
      <c r="P13" s="108"/>
      <c r="S13" s="111"/>
      <c r="T13" s="111"/>
    </row>
    <row r="14" spans="1:20" ht="18" x14ac:dyDescent="0.35">
      <c r="K14" s="108"/>
      <c r="L14" s="108"/>
      <c r="M14" s="108"/>
      <c r="N14" s="108"/>
      <c r="O14" s="108"/>
      <c r="P14" s="108"/>
      <c r="S14" s="108"/>
      <c r="T14" s="110"/>
    </row>
    <row r="15" spans="1:20" ht="15" customHeight="1" x14ac:dyDescent="0.35">
      <c r="K15" s="108"/>
      <c r="L15" s="108"/>
      <c r="M15" s="108"/>
      <c r="N15" s="108"/>
      <c r="O15" s="108"/>
      <c r="P15" s="108"/>
      <c r="S15" s="108"/>
      <c r="T15" s="110"/>
    </row>
    <row r="16" spans="1:20" ht="15" customHeight="1" x14ac:dyDescent="0.35">
      <c r="K16" s="108"/>
      <c r="L16" s="108"/>
      <c r="M16" s="108"/>
      <c r="N16" s="108"/>
      <c r="O16" s="108"/>
      <c r="P16" s="108"/>
      <c r="S16" s="108"/>
      <c r="T16" s="110"/>
    </row>
    <row r="17" spans="8:24" ht="15" customHeight="1" x14ac:dyDescent="0.35">
      <c r="K17" s="108"/>
      <c r="L17" s="108"/>
      <c r="M17" s="108"/>
      <c r="N17" s="108"/>
      <c r="O17" s="108"/>
      <c r="P17" s="108"/>
      <c r="S17" s="108"/>
      <c r="T17" s="110"/>
    </row>
    <row r="18" spans="8:24" ht="15" customHeight="1" x14ac:dyDescent="0.35">
      <c r="K18" s="108"/>
      <c r="L18" s="108"/>
      <c r="M18" s="108"/>
      <c r="N18" s="108"/>
      <c r="O18" s="108"/>
      <c r="P18" s="108"/>
      <c r="S18" s="108"/>
      <c r="T18" s="110"/>
    </row>
    <row r="19" spans="8:24" ht="15" customHeight="1" x14ac:dyDescent="0.35">
      <c r="K19" s="108"/>
      <c r="L19" s="108"/>
      <c r="M19" s="108"/>
      <c r="N19" s="108"/>
      <c r="O19" s="108"/>
      <c r="P19" s="108"/>
      <c r="Q19" s="108"/>
      <c r="R19" s="108"/>
      <c r="S19" s="109"/>
      <c r="T19" s="110"/>
    </row>
    <row r="20" spans="8:24" ht="15" customHeight="1" x14ac:dyDescent="0.35">
      <c r="K20" s="108"/>
      <c r="L20" s="108"/>
      <c r="M20" s="108"/>
      <c r="N20" s="108"/>
      <c r="O20" s="108"/>
      <c r="P20" s="108"/>
      <c r="Q20" s="108"/>
      <c r="R20" s="108"/>
      <c r="S20" s="109"/>
      <c r="T20" s="110"/>
      <c r="X20" s="154"/>
    </row>
    <row r="21" spans="8:24" ht="15" customHeight="1" x14ac:dyDescent="0.35">
      <c r="K21" s="108"/>
      <c r="L21" s="108"/>
      <c r="M21" s="108"/>
      <c r="N21" s="108"/>
      <c r="O21" s="108"/>
      <c r="P21" s="108"/>
      <c r="Q21" s="108"/>
      <c r="R21" s="108"/>
      <c r="S21" s="109"/>
      <c r="T21" s="110"/>
    </row>
    <row r="22" spans="8:24" ht="15" customHeight="1" x14ac:dyDescent="0.3">
      <c r="H22" s="229" t="s">
        <v>105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</row>
    <row r="23" spans="8:24" ht="15" customHeight="1" x14ac:dyDescent="0.3">
      <c r="H23" s="227" t="s">
        <v>159</v>
      </c>
      <c r="I23" s="227"/>
      <c r="J23" s="227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8:24" ht="15" customHeight="1" x14ac:dyDescent="0.3">
      <c r="H24" s="230" t="s">
        <v>117</v>
      </c>
      <c r="I24" s="230"/>
      <c r="J24" s="230"/>
      <c r="K24" s="230"/>
      <c r="L24" s="230"/>
      <c r="M24" s="230"/>
      <c r="N24" s="230"/>
      <c r="O24" s="230"/>
      <c r="P24" s="230"/>
      <c r="Q24" s="230"/>
      <c r="R24" s="112"/>
      <c r="S24" s="112"/>
      <c r="T24" s="112"/>
    </row>
    <row r="25" spans="8:24" ht="9" customHeight="1" x14ac:dyDescent="0.3"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8:24" x14ac:dyDescent="0.3">
      <c r="H26" s="226"/>
      <c r="I26" s="226"/>
      <c r="J26" s="226"/>
      <c r="K26" s="226"/>
      <c r="L26" s="226"/>
      <c r="M26" s="226"/>
      <c r="N26" s="226"/>
      <c r="O26" s="114"/>
      <c r="P26" s="115"/>
      <c r="Q26" s="223" t="s">
        <v>112</v>
      </c>
      <c r="R26" s="223"/>
      <c r="S26" s="223"/>
      <c r="T26" s="223"/>
    </row>
    <row r="27" spans="8:24" x14ac:dyDescent="0.3">
      <c r="H27" s="226"/>
      <c r="I27" s="226"/>
      <c r="J27" s="226"/>
      <c r="K27" s="226"/>
      <c r="L27" s="226"/>
      <c r="M27" s="226"/>
      <c r="N27" s="226"/>
      <c r="O27" s="116"/>
      <c r="P27" s="117"/>
      <c r="Q27" s="223" t="s">
        <v>116</v>
      </c>
      <c r="R27" s="223"/>
      <c r="S27" s="223"/>
      <c r="T27" s="223"/>
    </row>
    <row r="28" spans="8:24" x14ac:dyDescent="0.3">
      <c r="H28" s="118"/>
      <c r="I28" s="118"/>
      <c r="J28" s="118"/>
      <c r="K28" s="118"/>
      <c r="L28" s="118"/>
      <c r="M28" s="118"/>
      <c r="N28" s="118"/>
      <c r="O28" s="119"/>
      <c r="P28" s="120"/>
      <c r="Q28" s="121" t="s">
        <v>113</v>
      </c>
      <c r="R28" s="121"/>
      <c r="S28" s="121"/>
      <c r="T28" s="121"/>
    </row>
    <row r="29" spans="8:24" x14ac:dyDescent="0.3">
      <c r="H29" s="118"/>
      <c r="I29" s="118"/>
      <c r="J29" s="118"/>
      <c r="K29" s="118"/>
      <c r="L29" s="118"/>
      <c r="M29" s="118"/>
      <c r="N29" s="118"/>
      <c r="O29" s="119"/>
      <c r="P29" s="120"/>
      <c r="Q29" s="223" t="s">
        <v>114</v>
      </c>
      <c r="R29" s="223"/>
      <c r="S29" s="223"/>
      <c r="T29" s="223"/>
    </row>
    <row r="30" spans="8:24" x14ac:dyDescent="0.3">
      <c r="H30" s="118"/>
      <c r="I30" s="118"/>
      <c r="J30" s="118"/>
      <c r="K30" s="118"/>
      <c r="L30" s="118"/>
      <c r="M30" s="118"/>
      <c r="N30" s="118"/>
      <c r="O30" s="119"/>
      <c r="P30" s="120"/>
      <c r="Q30" s="221" t="s">
        <v>144</v>
      </c>
      <c r="R30" s="221"/>
      <c r="S30" s="221"/>
      <c r="T30" s="221"/>
    </row>
    <row r="31" spans="8:24" x14ac:dyDescent="0.3">
      <c r="H31" s="118"/>
      <c r="I31" s="118"/>
      <c r="J31" s="118"/>
      <c r="K31" s="118"/>
      <c r="L31" s="118"/>
      <c r="M31" s="118"/>
      <c r="N31" s="118"/>
      <c r="O31" s="119"/>
      <c r="P31" s="120"/>
      <c r="Q31" s="222" t="s">
        <v>115</v>
      </c>
      <c r="R31" s="222"/>
      <c r="S31" s="222"/>
      <c r="T31" s="222"/>
    </row>
  </sheetData>
  <mergeCells count="13">
    <mergeCell ref="Q30:T30"/>
    <mergeCell ref="Q31:T31"/>
    <mergeCell ref="Q29:T29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229"/>
  <sheetViews>
    <sheetView workbookViewId="0">
      <pane xSplit="3" ySplit="3" topLeftCell="K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8.88671875" defaultRowHeight="14.4" x14ac:dyDescent="0.3"/>
  <cols>
    <col min="1" max="1" width="11.109375" style="54" bestFit="1" customWidth="1"/>
    <col min="2" max="2" width="80.6640625" style="54" bestFit="1" customWidth="1"/>
    <col min="3" max="3" width="33.88671875" style="54" customWidth="1"/>
    <col min="4" max="6" width="13.109375" style="54" hidden="1" customWidth="1"/>
    <col min="7" max="7" width="13.44140625" style="171" hidden="1" customWidth="1"/>
    <col min="8" max="9" width="13.109375" style="54" hidden="1" customWidth="1"/>
    <col min="10" max="10" width="6" style="54" hidden="1" customWidth="1"/>
    <col min="11" max="11" width="4.109375" style="72" customWidth="1"/>
    <col min="12" max="14" width="13.109375" style="54" bestFit="1" customWidth="1"/>
    <col min="15" max="15" width="13.44140625" style="54" bestFit="1" customWidth="1"/>
    <col min="16" max="16" width="13.109375" style="54" bestFit="1" customWidth="1"/>
    <col min="17" max="20" width="8.88671875" style="54"/>
    <col min="21" max="21" width="11.44140625" style="54" customWidth="1"/>
    <col min="22" max="22" width="11.6640625" style="54" bestFit="1" customWidth="1"/>
    <col min="23" max="23" width="14.6640625" style="54" bestFit="1" customWidth="1"/>
    <col min="24" max="24" width="14.6640625" style="54" customWidth="1"/>
    <col min="25" max="25" width="8.88671875" style="54"/>
    <col min="26" max="26" width="6.33203125" style="54" customWidth="1"/>
    <col min="27" max="27" width="11.5546875" style="54" bestFit="1" customWidth="1"/>
    <col min="28" max="16384" width="8.88671875" style="54"/>
  </cols>
  <sheetData>
    <row r="2" spans="1:25" x14ac:dyDescent="0.3">
      <c r="D2" s="71"/>
      <c r="E2" s="71"/>
      <c r="F2" s="71"/>
      <c r="G2" s="167"/>
      <c r="H2" s="71"/>
      <c r="I2" s="71"/>
    </row>
    <row r="3" spans="1:25" x14ac:dyDescent="0.3">
      <c r="A3" s="69"/>
      <c r="B3" s="69" t="s">
        <v>0</v>
      </c>
      <c r="C3" s="69" t="s">
        <v>0</v>
      </c>
      <c r="D3" s="69">
        <v>2016</v>
      </c>
      <c r="E3" s="69">
        <v>2017</v>
      </c>
      <c r="F3" s="69">
        <v>2018</v>
      </c>
      <c r="G3" s="168">
        <v>2019</v>
      </c>
      <c r="H3" s="69">
        <v>2020</v>
      </c>
      <c r="I3" s="69">
        <v>2021</v>
      </c>
      <c r="J3" s="69" t="s">
        <v>267</v>
      </c>
      <c r="L3" s="69"/>
      <c r="M3" s="69"/>
      <c r="N3" s="69">
        <v>2021</v>
      </c>
      <c r="O3" s="69">
        <v>2022</v>
      </c>
      <c r="P3" s="69">
        <v>2023</v>
      </c>
      <c r="U3" s="69" t="s">
        <v>146</v>
      </c>
      <c r="V3" s="69" t="s">
        <v>147</v>
      </c>
      <c r="W3" s="69"/>
      <c r="X3" s="69"/>
      <c r="Y3" s="69" t="s">
        <v>153</v>
      </c>
    </row>
    <row r="4" spans="1:25" x14ac:dyDescent="0.3">
      <c r="B4" s="54" t="s">
        <v>1</v>
      </c>
      <c r="C4" s="54" t="s">
        <v>2</v>
      </c>
      <c r="D4" s="63"/>
      <c r="E4" s="63"/>
      <c r="F4" s="63"/>
      <c r="G4" s="169"/>
      <c r="H4" s="63"/>
      <c r="I4" s="63"/>
      <c r="J4" s="54">
        <v>1</v>
      </c>
      <c r="L4" s="63"/>
      <c r="M4" s="63"/>
      <c r="N4" s="63">
        <v>141545774.71566892</v>
      </c>
      <c r="O4" s="63">
        <v>129906556.38748705</v>
      </c>
      <c r="P4" s="63">
        <v>121854254.7980932</v>
      </c>
      <c r="U4" s="54" t="s">
        <v>317</v>
      </c>
      <c r="V4" s="54" t="s">
        <v>318</v>
      </c>
      <c r="W4" s="54" t="s">
        <v>319</v>
      </c>
      <c r="X4" s="54" t="s">
        <v>320</v>
      </c>
      <c r="Y4" s="71">
        <v>90</v>
      </c>
    </row>
    <row r="5" spans="1:25" x14ac:dyDescent="0.3">
      <c r="B5" s="54" t="s">
        <v>3</v>
      </c>
      <c r="C5" s="54" t="s">
        <v>4</v>
      </c>
      <c r="D5" s="63"/>
      <c r="E5" s="63"/>
      <c r="F5" s="63"/>
      <c r="G5" s="169"/>
      <c r="H5" s="63"/>
      <c r="I5" s="63"/>
      <c r="J5" s="54">
        <v>1</v>
      </c>
      <c r="L5" s="63"/>
      <c r="M5" s="63"/>
      <c r="N5" s="63">
        <v>11885346</v>
      </c>
      <c r="O5" s="63">
        <v>10894585.9</v>
      </c>
      <c r="P5" s="63">
        <v>9883738</v>
      </c>
      <c r="U5" s="54" t="s">
        <v>321</v>
      </c>
      <c r="V5" s="54" t="s">
        <v>322</v>
      </c>
      <c r="W5" s="54" t="s">
        <v>323</v>
      </c>
      <c r="X5" s="54" t="s">
        <v>324</v>
      </c>
      <c r="Y5" s="71">
        <v>180</v>
      </c>
    </row>
    <row r="6" spans="1:25" x14ac:dyDescent="0.3">
      <c r="B6" s="54" t="s">
        <v>198</v>
      </c>
      <c r="C6" s="54" t="s">
        <v>199</v>
      </c>
      <c r="D6" s="63"/>
      <c r="E6" s="63"/>
      <c r="F6" s="63"/>
      <c r="G6" s="169"/>
      <c r="H6" s="63"/>
      <c r="I6" s="63"/>
      <c r="J6" s="54">
        <v>1</v>
      </c>
      <c r="L6" s="63"/>
      <c r="M6" s="63"/>
      <c r="N6" s="63">
        <v>143460.56021036324</v>
      </c>
      <c r="O6" s="63">
        <v>143460.56021036324</v>
      </c>
      <c r="P6" s="63">
        <v>143460.56021036324</v>
      </c>
      <c r="U6" s="54" t="s">
        <v>325</v>
      </c>
      <c r="V6" s="54" t="s">
        <v>326</v>
      </c>
      <c r="W6" s="54" t="s">
        <v>327</v>
      </c>
      <c r="X6" s="54" t="s">
        <v>328</v>
      </c>
      <c r="Y6" s="71">
        <v>270</v>
      </c>
    </row>
    <row r="7" spans="1:25" x14ac:dyDescent="0.3">
      <c r="B7" s="54" t="s">
        <v>200</v>
      </c>
      <c r="C7" s="54" t="s">
        <v>165</v>
      </c>
      <c r="D7" s="63"/>
      <c r="E7" s="63"/>
      <c r="F7" s="63"/>
      <c r="G7" s="169"/>
      <c r="H7" s="63"/>
      <c r="I7" s="63"/>
      <c r="J7" s="54">
        <v>1</v>
      </c>
      <c r="L7" s="63"/>
      <c r="M7" s="63"/>
      <c r="N7" s="63">
        <v>300850.84090909082</v>
      </c>
      <c r="O7" s="63">
        <v>301247.40181818209</v>
      </c>
      <c r="P7" s="63">
        <v>386709.92272727273</v>
      </c>
    </row>
    <row r="8" spans="1:25" x14ac:dyDescent="0.3">
      <c r="B8" s="54" t="s">
        <v>201</v>
      </c>
      <c r="C8" s="54" t="s">
        <v>202</v>
      </c>
      <c r="D8" s="63"/>
      <c r="E8" s="63"/>
      <c r="F8" s="63"/>
      <c r="G8" s="169"/>
      <c r="H8" s="63"/>
      <c r="I8" s="63"/>
      <c r="J8" s="54">
        <v>1</v>
      </c>
      <c r="L8" s="63"/>
      <c r="M8" s="63"/>
      <c r="N8" s="63">
        <v>25209478.935341436</v>
      </c>
      <c r="O8" s="63">
        <v>24908093.994019158</v>
      </c>
      <c r="P8" s="63">
        <v>-8.5986979305744171E-2</v>
      </c>
    </row>
    <row r="9" spans="1:25" x14ac:dyDescent="0.3">
      <c r="B9" s="54" t="s">
        <v>203</v>
      </c>
      <c r="C9" s="54" t="s">
        <v>166</v>
      </c>
      <c r="D9" s="63"/>
      <c r="E9" s="63"/>
      <c r="F9" s="63"/>
      <c r="G9" s="169"/>
      <c r="H9" s="63"/>
      <c r="I9" s="63"/>
      <c r="J9" s="54">
        <v>1</v>
      </c>
      <c r="L9" s="63"/>
      <c r="M9" s="63"/>
      <c r="N9" s="63">
        <v>196964.40000000037</v>
      </c>
      <c r="O9" s="63">
        <v>196973.95</v>
      </c>
      <c r="P9" s="63">
        <v>297974.40000000037</v>
      </c>
    </row>
    <row r="10" spans="1:25" x14ac:dyDescent="0.3">
      <c r="B10" s="54" t="s">
        <v>204</v>
      </c>
      <c r="C10" s="54" t="s">
        <v>205</v>
      </c>
      <c r="D10" s="63"/>
      <c r="E10" s="63"/>
      <c r="F10" s="63"/>
      <c r="G10" s="169"/>
      <c r="H10" s="63"/>
      <c r="I10" s="63"/>
      <c r="J10" s="54">
        <v>1</v>
      </c>
      <c r="L10" s="63"/>
      <c r="M10" s="63"/>
      <c r="N10" s="63">
        <v>100000</v>
      </c>
      <c r="O10" s="63">
        <v>0</v>
      </c>
      <c r="P10" s="63">
        <v>1897.92</v>
      </c>
    </row>
    <row r="11" spans="1:25" x14ac:dyDescent="0.3">
      <c r="B11" s="54" t="s">
        <v>206</v>
      </c>
      <c r="C11" s="54" t="s">
        <v>8</v>
      </c>
      <c r="D11" s="63"/>
      <c r="E11" s="63"/>
      <c r="F11" s="63"/>
      <c r="G11" s="169"/>
      <c r="H11" s="63"/>
      <c r="I11" s="63"/>
      <c r="J11" s="54">
        <v>1</v>
      </c>
      <c r="L11" s="63"/>
      <c r="M11" s="63"/>
      <c r="N11" s="63">
        <v>179381875.45212984</v>
      </c>
      <c r="O11" s="63">
        <v>166350918.19353476</v>
      </c>
      <c r="P11" s="63">
        <v>132568035.51504387</v>
      </c>
    </row>
    <row r="12" spans="1:25" x14ac:dyDescent="0.3">
      <c r="B12" s="54" t="s">
        <v>207</v>
      </c>
      <c r="C12" s="54" t="s">
        <v>169</v>
      </c>
      <c r="D12" s="63"/>
      <c r="E12" s="63"/>
      <c r="F12" s="63"/>
      <c r="G12" s="169"/>
      <c r="H12" s="63"/>
      <c r="I12" s="63"/>
      <c r="J12" s="54">
        <v>1</v>
      </c>
      <c r="L12" s="63"/>
      <c r="M12" s="63"/>
      <c r="N12" s="63">
        <v>51489374.047697023</v>
      </c>
      <c r="O12" s="63">
        <v>68112688.748225853</v>
      </c>
      <c r="P12" s="63">
        <v>62075651.439672515</v>
      </c>
    </row>
    <row r="13" spans="1:25" x14ac:dyDescent="0.3">
      <c r="B13" s="54" t="s">
        <v>11</v>
      </c>
      <c r="C13" s="54" t="s">
        <v>170</v>
      </c>
      <c r="D13" s="63"/>
      <c r="E13" s="63"/>
      <c r="F13" s="63"/>
      <c r="G13" s="169"/>
      <c r="H13" s="63"/>
      <c r="I13" s="63"/>
      <c r="J13" s="54">
        <v>1</v>
      </c>
      <c r="L13" s="63"/>
      <c r="M13" s="63"/>
      <c r="N13" s="63">
        <v>48244633.655505948</v>
      </c>
      <c r="O13" s="63">
        <v>61094947.985505939</v>
      </c>
      <c r="P13" s="63">
        <v>63291252.495505944</v>
      </c>
    </row>
    <row r="14" spans="1:25" x14ac:dyDescent="0.3">
      <c r="B14" s="54" t="s">
        <v>208</v>
      </c>
      <c r="C14" s="54" t="s">
        <v>171</v>
      </c>
      <c r="D14" s="63"/>
      <c r="E14" s="63"/>
      <c r="F14" s="63"/>
      <c r="G14" s="169"/>
      <c r="H14" s="63"/>
      <c r="I14" s="63"/>
      <c r="J14" s="54">
        <v>1</v>
      </c>
      <c r="L14" s="63"/>
      <c r="M14" s="63"/>
      <c r="N14" s="63">
        <v>181333.53999999986</v>
      </c>
      <c r="O14" s="63">
        <v>169077.56000000003</v>
      </c>
      <c r="P14" s="63">
        <v>-0.47000000020489097</v>
      </c>
    </row>
    <row r="15" spans="1:25" x14ac:dyDescent="0.3">
      <c r="B15" s="54" t="s">
        <v>209</v>
      </c>
      <c r="C15" s="54" t="s">
        <v>172</v>
      </c>
      <c r="D15" s="63"/>
      <c r="E15" s="63"/>
      <c r="F15" s="63"/>
      <c r="G15" s="169"/>
      <c r="H15" s="63"/>
      <c r="I15" s="63"/>
      <c r="J15" s="54">
        <v>1</v>
      </c>
      <c r="L15" s="63"/>
      <c r="M15" s="63"/>
      <c r="N15" s="63">
        <v>1134334.22655</v>
      </c>
      <c r="O15" s="63">
        <v>2331595.1665500002</v>
      </c>
      <c r="P15" s="63">
        <v>2692413.0665500001</v>
      </c>
    </row>
    <row r="16" spans="1:25" x14ac:dyDescent="0.3">
      <c r="B16" s="54" t="s">
        <v>210</v>
      </c>
      <c r="C16" s="54" t="s">
        <v>173</v>
      </c>
      <c r="D16" s="63"/>
      <c r="E16" s="63"/>
      <c r="F16" s="63"/>
      <c r="G16" s="169"/>
      <c r="H16" s="63"/>
      <c r="I16" s="63"/>
      <c r="J16" s="54">
        <v>1</v>
      </c>
      <c r="L16" s="63"/>
      <c r="M16" s="63"/>
      <c r="N16" s="63">
        <v>14747960.913582001</v>
      </c>
      <c r="O16" s="63">
        <v>12918268.456017001</v>
      </c>
      <c r="P16" s="63">
        <v>42425778.736639999</v>
      </c>
    </row>
    <row r="17" spans="2:16" x14ac:dyDescent="0.3">
      <c r="B17" s="54" t="s">
        <v>167</v>
      </c>
      <c r="C17" s="54" t="s">
        <v>168</v>
      </c>
      <c r="D17" s="63"/>
      <c r="E17" s="63"/>
      <c r="F17" s="63"/>
      <c r="G17" s="169"/>
      <c r="H17" s="63"/>
      <c r="I17" s="63"/>
      <c r="J17" s="54">
        <v>1</v>
      </c>
      <c r="L17" s="63"/>
      <c r="M17" s="63"/>
      <c r="N17" s="63">
        <v>70845</v>
      </c>
      <c r="O17" s="63">
        <v>3760154.57</v>
      </c>
      <c r="P17" s="63">
        <v>0</v>
      </c>
    </row>
    <row r="18" spans="2:16" x14ac:dyDescent="0.3">
      <c r="B18" s="54" t="s">
        <v>211</v>
      </c>
      <c r="C18" s="54" t="s">
        <v>16</v>
      </c>
      <c r="D18" s="63"/>
      <c r="E18" s="63"/>
      <c r="F18" s="63"/>
      <c r="G18" s="169"/>
      <c r="H18" s="63"/>
      <c r="I18" s="63"/>
      <c r="J18" s="54">
        <v>1</v>
      </c>
      <c r="L18" s="63"/>
      <c r="M18" s="63"/>
      <c r="N18" s="63">
        <v>115868481.38333496</v>
      </c>
      <c r="O18" s="63">
        <v>148386732.48629877</v>
      </c>
      <c r="P18" s="63">
        <v>170485095.26836845</v>
      </c>
    </row>
    <row r="19" spans="2:16" x14ac:dyDescent="0.3">
      <c r="B19" s="54" t="s">
        <v>212</v>
      </c>
      <c r="C19" s="54" t="s">
        <v>18</v>
      </c>
      <c r="D19" s="63"/>
      <c r="E19" s="63"/>
      <c r="F19" s="63"/>
      <c r="G19" s="169"/>
      <c r="H19" s="63"/>
      <c r="I19" s="63"/>
      <c r="J19" s="54">
        <v>1</v>
      </c>
      <c r="L19" s="63"/>
      <c r="M19" s="63"/>
      <c r="N19" s="63">
        <v>295250356.83546484</v>
      </c>
      <c r="O19" s="63">
        <v>314737650.67983353</v>
      </c>
      <c r="P19" s="63">
        <v>303053130.78341234</v>
      </c>
    </row>
    <row r="20" spans="2:16" x14ac:dyDescent="0.3">
      <c r="B20" s="54" t="s">
        <v>19</v>
      </c>
      <c r="C20" s="54" t="s">
        <v>20</v>
      </c>
      <c r="D20" s="63"/>
      <c r="E20" s="63"/>
      <c r="F20" s="63"/>
      <c r="G20" s="169"/>
      <c r="H20" s="63"/>
      <c r="I20" s="63"/>
      <c r="J20" s="54">
        <v>1</v>
      </c>
      <c r="L20" s="63"/>
      <c r="M20" s="63"/>
      <c r="N20" s="63">
        <v>26412210.343440004</v>
      </c>
      <c r="O20" s="63">
        <v>26412209.943440005</v>
      </c>
      <c r="P20" s="63">
        <v>26412210.343440004</v>
      </c>
    </row>
    <row r="21" spans="2:16" x14ac:dyDescent="0.3">
      <c r="B21" s="54" t="s">
        <v>214</v>
      </c>
      <c r="C21" s="54" t="s">
        <v>22</v>
      </c>
      <c r="D21" s="63"/>
      <c r="E21" s="63"/>
      <c r="F21" s="63"/>
      <c r="G21" s="169"/>
      <c r="H21" s="63"/>
      <c r="I21" s="63"/>
      <c r="J21" s="54">
        <v>1</v>
      </c>
      <c r="L21" s="63"/>
      <c r="M21" s="63"/>
      <c r="N21" s="63">
        <v>2182283</v>
      </c>
      <c r="O21" s="63">
        <v>2182283.2899999991</v>
      </c>
      <c r="P21" s="63">
        <v>2182283</v>
      </c>
    </row>
    <row r="22" spans="2:16" x14ac:dyDescent="0.3">
      <c r="B22" s="54" t="s">
        <v>23</v>
      </c>
      <c r="C22" s="54" t="s">
        <v>174</v>
      </c>
      <c r="D22" s="63"/>
      <c r="E22" s="63"/>
      <c r="F22" s="63"/>
      <c r="G22" s="169"/>
      <c r="H22" s="63"/>
      <c r="I22" s="63"/>
      <c r="J22" s="54">
        <v>1</v>
      </c>
      <c r="L22" s="63"/>
      <c r="M22" s="63"/>
      <c r="N22" s="63">
        <v>61008851.809163399</v>
      </c>
      <c r="O22" s="63">
        <v>60098975.819163397</v>
      </c>
      <c r="P22" s="63">
        <v>61979161.865429774</v>
      </c>
    </row>
    <row r="23" spans="2:16" x14ac:dyDescent="0.3">
      <c r="B23" s="54" t="s">
        <v>24</v>
      </c>
      <c r="C23" s="54" t="s">
        <v>25</v>
      </c>
      <c r="D23" s="63"/>
      <c r="E23" s="63"/>
      <c r="F23" s="63"/>
      <c r="G23" s="169"/>
      <c r="H23" s="63"/>
      <c r="I23" s="63"/>
      <c r="J23" s="54">
        <v>1</v>
      </c>
      <c r="L23" s="63"/>
      <c r="M23" s="63"/>
      <c r="N23" s="63">
        <v>49830683.22941713</v>
      </c>
      <c r="O23" s="63">
        <v>53827577.936433822</v>
      </c>
      <c r="P23" s="63">
        <v>81182094.568617523</v>
      </c>
    </row>
    <row r="24" spans="2:16" x14ac:dyDescent="0.3">
      <c r="B24" s="54" t="s">
        <v>215</v>
      </c>
      <c r="C24" s="54" t="s">
        <v>216</v>
      </c>
      <c r="D24" s="63"/>
      <c r="E24" s="63"/>
      <c r="F24" s="63"/>
      <c r="G24" s="169"/>
      <c r="H24" s="63"/>
      <c r="I24" s="63"/>
      <c r="J24" s="54">
        <v>1</v>
      </c>
      <c r="L24" s="63"/>
      <c r="M24" s="63"/>
      <c r="N24" s="63">
        <v>139434028.38202053</v>
      </c>
      <c r="O24" s="63">
        <v>142521046.98903722</v>
      </c>
      <c r="P24" s="63">
        <v>171755749.77748731</v>
      </c>
    </row>
    <row r="25" spans="2:16" ht="15" customHeight="1" x14ac:dyDescent="0.3">
      <c r="B25" s="54" t="s">
        <v>217</v>
      </c>
      <c r="C25" s="54" t="s">
        <v>218</v>
      </c>
      <c r="D25" s="63"/>
      <c r="E25" s="63"/>
      <c r="F25" s="63"/>
      <c r="G25" s="169"/>
      <c r="H25" s="63"/>
      <c r="I25" s="63"/>
      <c r="J25" s="54">
        <v>1</v>
      </c>
      <c r="L25" s="63"/>
      <c r="M25" s="63"/>
      <c r="N25" s="63">
        <v>917868.61902258347</v>
      </c>
      <c r="O25" s="63">
        <v>916916.17196969548</v>
      </c>
      <c r="P25" s="63">
        <v>919993.82330617122</v>
      </c>
    </row>
    <row r="26" spans="2:16" x14ac:dyDescent="0.3">
      <c r="B26" s="54" t="s">
        <v>219</v>
      </c>
      <c r="C26" s="54" t="s">
        <v>220</v>
      </c>
      <c r="D26" s="63"/>
      <c r="E26" s="63"/>
      <c r="F26" s="63"/>
      <c r="G26" s="169"/>
      <c r="H26" s="63"/>
      <c r="I26" s="63"/>
      <c r="J26" s="54">
        <v>1</v>
      </c>
      <c r="L26" s="63"/>
      <c r="M26" s="63"/>
      <c r="N26" s="63">
        <v>140351897.00104311</v>
      </c>
      <c r="O26" s="63">
        <v>143437963.1610069</v>
      </c>
      <c r="P26" s="63">
        <v>172675743.60079348</v>
      </c>
    </row>
    <row r="27" spans="2:16" x14ac:dyDescent="0.3">
      <c r="B27" s="54" t="s">
        <v>221</v>
      </c>
      <c r="C27" s="54" t="s">
        <v>222</v>
      </c>
      <c r="D27" s="63"/>
      <c r="E27" s="63"/>
      <c r="F27" s="63"/>
      <c r="G27" s="169"/>
      <c r="H27" s="63"/>
      <c r="I27" s="63"/>
      <c r="J27" s="54">
        <v>1</v>
      </c>
      <c r="L27" s="63"/>
      <c r="M27" s="63"/>
      <c r="N27" s="63">
        <v>446038</v>
      </c>
      <c r="O27" s="63">
        <v>659623</v>
      </c>
      <c r="P27" s="63">
        <v>1429017</v>
      </c>
    </row>
    <row r="28" spans="2:16" x14ac:dyDescent="0.3">
      <c r="B28" s="54" t="s">
        <v>223</v>
      </c>
      <c r="C28" s="54" t="s">
        <v>31</v>
      </c>
      <c r="D28" s="63"/>
      <c r="E28" s="63"/>
      <c r="F28" s="63"/>
      <c r="G28" s="169"/>
      <c r="H28" s="63"/>
      <c r="I28" s="63"/>
      <c r="J28" s="54">
        <v>1</v>
      </c>
      <c r="L28" s="63"/>
      <c r="M28" s="63"/>
      <c r="N28" s="63">
        <v>7857468</v>
      </c>
      <c r="O28" s="63">
        <v>8012574</v>
      </c>
      <c r="P28" s="63">
        <v>7780659</v>
      </c>
    </row>
    <row r="29" spans="2:16" x14ac:dyDescent="0.3">
      <c r="B29" s="54" t="s">
        <v>180</v>
      </c>
      <c r="C29" s="54" t="s">
        <v>181</v>
      </c>
      <c r="D29" s="63"/>
      <c r="E29" s="63"/>
      <c r="F29" s="63"/>
      <c r="G29" s="169"/>
      <c r="H29" s="63"/>
      <c r="I29" s="63"/>
      <c r="J29" s="54">
        <v>1</v>
      </c>
      <c r="L29" s="63"/>
      <c r="M29" s="63"/>
      <c r="N29" s="63">
        <v>16262446.18</v>
      </c>
      <c r="O29" s="63">
        <v>5853917</v>
      </c>
      <c r="P29" s="63">
        <v>3725123.2532296898</v>
      </c>
    </row>
    <row r="30" spans="2:16" x14ac:dyDescent="0.3">
      <c r="B30" s="54" t="s">
        <v>224</v>
      </c>
      <c r="C30" s="54" t="s">
        <v>182</v>
      </c>
      <c r="D30" s="63"/>
      <c r="E30" s="63"/>
      <c r="F30" s="63"/>
      <c r="G30" s="169"/>
      <c r="H30" s="63"/>
      <c r="I30" s="63"/>
      <c r="J30" s="54">
        <v>1</v>
      </c>
      <c r="L30" s="63"/>
      <c r="M30" s="63"/>
      <c r="N30" s="63">
        <v>18824844.5</v>
      </c>
      <c r="O30" s="63">
        <v>15079152.24</v>
      </c>
      <c r="P30" s="63">
        <v>12484538.9</v>
      </c>
    </row>
    <row r="31" spans="2:16" x14ac:dyDescent="0.3">
      <c r="B31" s="54" t="s">
        <v>225</v>
      </c>
      <c r="C31" s="54" t="s">
        <v>35</v>
      </c>
      <c r="D31" s="63"/>
      <c r="E31" s="63"/>
      <c r="F31" s="63"/>
      <c r="G31" s="169"/>
      <c r="H31" s="63"/>
      <c r="I31" s="63"/>
      <c r="J31" s="54">
        <v>1</v>
      </c>
      <c r="L31" s="63"/>
      <c r="M31" s="63"/>
      <c r="N31" s="63">
        <v>43390796.68</v>
      </c>
      <c r="O31" s="63">
        <v>29605266.240000002</v>
      </c>
      <c r="P31" s="63">
        <v>25419338.153229691</v>
      </c>
    </row>
    <row r="32" spans="2:16" x14ac:dyDescent="0.3">
      <c r="B32" s="54" t="s">
        <v>175</v>
      </c>
      <c r="C32" s="54" t="s">
        <v>226</v>
      </c>
      <c r="D32" s="63"/>
      <c r="E32" s="63"/>
      <c r="F32" s="63"/>
      <c r="G32" s="169"/>
      <c r="H32" s="63"/>
      <c r="I32" s="63"/>
      <c r="J32" s="54">
        <v>1</v>
      </c>
      <c r="L32" s="63"/>
      <c r="M32" s="63"/>
      <c r="N32" s="63">
        <v>50597626.775974832</v>
      </c>
      <c r="O32" s="63">
        <v>62669156.625974864</v>
      </c>
      <c r="P32" s="63">
        <v>41716624.255974852</v>
      </c>
    </row>
    <row r="33" spans="2:16" x14ac:dyDescent="0.3">
      <c r="B33" s="54" t="s">
        <v>176</v>
      </c>
      <c r="C33" s="54" t="s">
        <v>177</v>
      </c>
      <c r="D33" s="63"/>
      <c r="E33" s="63"/>
      <c r="F33" s="63"/>
      <c r="G33" s="169"/>
      <c r="H33" s="63"/>
      <c r="I33" s="63"/>
      <c r="J33" s="54">
        <v>1</v>
      </c>
      <c r="L33" s="63"/>
      <c r="M33" s="63"/>
      <c r="N33" s="63">
        <v>53004232.579999998</v>
      </c>
      <c r="O33" s="63">
        <v>69806002.560000002</v>
      </c>
      <c r="P33" s="63">
        <v>52539678.416770309</v>
      </c>
    </row>
    <row r="34" spans="2:16" x14ac:dyDescent="0.3">
      <c r="B34" s="54" t="s">
        <v>178</v>
      </c>
      <c r="C34" s="54" t="s">
        <v>179</v>
      </c>
      <c r="D34" s="63"/>
      <c r="E34" s="63"/>
      <c r="F34" s="63"/>
      <c r="G34" s="169"/>
      <c r="H34" s="63"/>
      <c r="I34" s="63"/>
      <c r="J34" s="54">
        <v>1</v>
      </c>
      <c r="L34" s="63"/>
      <c r="M34" s="63"/>
      <c r="N34" s="63">
        <v>7905804.0758749992</v>
      </c>
      <c r="O34" s="63">
        <v>9219262.0958749987</v>
      </c>
      <c r="P34" s="63">
        <v>10701746.745875001</v>
      </c>
    </row>
    <row r="35" spans="2:16" x14ac:dyDescent="0.3">
      <c r="B35" s="54" t="s">
        <v>227</v>
      </c>
      <c r="C35" s="54" t="s">
        <v>39</v>
      </c>
      <c r="D35" s="63"/>
      <c r="E35" s="63"/>
      <c r="F35" s="63"/>
      <c r="G35" s="169"/>
      <c r="H35" s="63"/>
      <c r="I35" s="63"/>
      <c r="J35" s="54">
        <v>1</v>
      </c>
      <c r="L35" s="63"/>
      <c r="M35" s="63"/>
      <c r="N35" s="63">
        <v>111507663.43184982</v>
      </c>
      <c r="O35" s="63">
        <v>141694421.28184986</v>
      </c>
      <c r="P35" s="63">
        <v>104958049.41862017</v>
      </c>
    </row>
    <row r="36" spans="2:16" x14ac:dyDescent="0.3">
      <c r="B36" s="54" t="s">
        <v>228</v>
      </c>
      <c r="C36" s="54" t="s">
        <v>41</v>
      </c>
      <c r="D36" s="63"/>
      <c r="E36" s="63"/>
      <c r="F36" s="63"/>
      <c r="G36" s="169"/>
      <c r="H36" s="63"/>
      <c r="I36" s="63"/>
      <c r="J36" s="54">
        <v>1</v>
      </c>
      <c r="L36" s="63"/>
      <c r="M36" s="63"/>
      <c r="N36" s="63">
        <v>154898460.11184981</v>
      </c>
      <c r="O36" s="63">
        <v>171299687.52184987</v>
      </c>
      <c r="P36" s="63">
        <v>130377387.57184985</v>
      </c>
    </row>
    <row r="37" spans="2:16" x14ac:dyDescent="0.3">
      <c r="B37" s="54" t="s">
        <v>229</v>
      </c>
      <c r="C37" s="54" t="s">
        <v>230</v>
      </c>
      <c r="D37" s="63"/>
      <c r="E37" s="63"/>
      <c r="F37" s="63"/>
      <c r="G37" s="169"/>
      <c r="H37" s="63"/>
      <c r="I37" s="63"/>
      <c r="J37" s="54">
        <v>1</v>
      </c>
      <c r="L37" s="63"/>
      <c r="M37" s="63"/>
      <c r="N37" s="63">
        <v>295250357.11289293</v>
      </c>
      <c r="O37" s="63">
        <v>314737650.6828568</v>
      </c>
      <c r="P37" s="63">
        <v>303053131.1726433</v>
      </c>
    </row>
    <row r="38" spans="2:16" x14ac:dyDescent="0.3">
      <c r="B38" s="54" t="s">
        <v>183</v>
      </c>
      <c r="C38" s="54" t="s">
        <v>45</v>
      </c>
      <c r="D38" s="63"/>
      <c r="E38" s="63"/>
      <c r="F38" s="63"/>
      <c r="G38" s="169"/>
      <c r="H38" s="63"/>
      <c r="I38" s="63"/>
      <c r="J38" s="54">
        <v>1</v>
      </c>
      <c r="L38" s="63"/>
      <c r="M38" s="63"/>
      <c r="N38" s="63">
        <v>73843980.703151584</v>
      </c>
      <c r="O38" s="63">
        <v>95365144.089409724</v>
      </c>
      <c r="P38" s="63">
        <v>89872750.660000011</v>
      </c>
    </row>
    <row r="39" spans="2:16" x14ac:dyDescent="0.3">
      <c r="B39" s="54" t="s">
        <v>55</v>
      </c>
      <c r="C39" s="54" t="s">
        <v>184</v>
      </c>
      <c r="D39" s="63"/>
      <c r="E39" s="63"/>
      <c r="F39" s="63"/>
      <c r="G39" s="169"/>
      <c r="H39" s="63"/>
      <c r="I39" s="63"/>
      <c r="J39" s="54">
        <v>1</v>
      </c>
      <c r="L39" s="63"/>
      <c r="M39" s="63"/>
      <c r="N39" s="63">
        <v>1070758.72</v>
      </c>
      <c r="O39" s="63">
        <v>1073658.9500000007</v>
      </c>
      <c r="P39" s="63">
        <v>1031513.09</v>
      </c>
    </row>
    <row r="40" spans="2:16" x14ac:dyDescent="0.3">
      <c r="B40" s="54" t="s">
        <v>185</v>
      </c>
      <c r="C40" s="54" t="s">
        <v>186</v>
      </c>
      <c r="D40" s="63"/>
      <c r="E40" s="63"/>
      <c r="F40" s="63"/>
      <c r="G40" s="169"/>
      <c r="H40" s="63"/>
      <c r="I40" s="63"/>
      <c r="J40" s="54">
        <v>1</v>
      </c>
      <c r="L40" s="63"/>
      <c r="M40" s="63"/>
      <c r="N40" s="63">
        <v>2534994.23</v>
      </c>
      <c r="O40" s="63">
        <v>6403774.8900000006</v>
      </c>
      <c r="P40" s="63">
        <v>1953153.5899999999</v>
      </c>
    </row>
    <row r="41" spans="2:16" x14ac:dyDescent="0.3">
      <c r="B41" s="54" t="s">
        <v>187</v>
      </c>
      <c r="C41" s="54" t="s">
        <v>46</v>
      </c>
      <c r="D41" s="63"/>
      <c r="E41" s="63"/>
      <c r="F41" s="63"/>
      <c r="G41" s="169"/>
      <c r="H41" s="63"/>
      <c r="I41" s="63"/>
      <c r="J41" s="54">
        <v>1</v>
      </c>
      <c r="L41" s="63"/>
      <c r="M41" s="63"/>
      <c r="N41" s="63">
        <v>-49431754.694069304</v>
      </c>
      <c r="O41" s="63">
        <v>-67381270.680794284</v>
      </c>
      <c r="P41" s="63">
        <v>-61899367.753184624</v>
      </c>
    </row>
    <row r="42" spans="2:16" x14ac:dyDescent="0.3">
      <c r="B42" s="54" t="s">
        <v>188</v>
      </c>
      <c r="C42" s="54" t="s">
        <v>231</v>
      </c>
      <c r="D42" s="63"/>
      <c r="E42" s="63"/>
      <c r="F42" s="63"/>
      <c r="G42" s="169"/>
      <c r="H42" s="63"/>
      <c r="I42" s="63"/>
      <c r="J42" s="54">
        <v>1</v>
      </c>
      <c r="L42" s="63"/>
      <c r="M42" s="63"/>
      <c r="N42" s="63">
        <v>-18233567.5</v>
      </c>
      <c r="O42" s="63">
        <v>-18971411.640000001</v>
      </c>
      <c r="P42" s="63">
        <v>-20425518</v>
      </c>
    </row>
    <row r="43" spans="2:16" x14ac:dyDescent="0.3">
      <c r="B43" s="54" t="s">
        <v>189</v>
      </c>
      <c r="C43" s="54" t="s">
        <v>47</v>
      </c>
      <c r="D43" s="63"/>
      <c r="E43" s="63"/>
      <c r="F43" s="63"/>
      <c r="G43" s="169"/>
      <c r="H43" s="63"/>
      <c r="I43" s="63"/>
      <c r="J43" s="54">
        <v>1</v>
      </c>
      <c r="L43" s="63"/>
      <c r="M43" s="63"/>
      <c r="N43" s="63">
        <v>-3745806.38</v>
      </c>
      <c r="O43" s="63">
        <v>-3691726.8800000008</v>
      </c>
      <c r="P43" s="63">
        <v>-3620792.3500000006</v>
      </c>
    </row>
    <row r="44" spans="2:16" x14ac:dyDescent="0.3">
      <c r="B44" s="54" t="s">
        <v>190</v>
      </c>
      <c r="C44" s="54" t="s">
        <v>49</v>
      </c>
      <c r="D44" s="63"/>
      <c r="E44" s="63"/>
      <c r="F44" s="63"/>
      <c r="G44" s="169"/>
      <c r="H44" s="63"/>
      <c r="I44" s="63"/>
      <c r="J44" s="54">
        <v>1</v>
      </c>
      <c r="L44" s="63"/>
      <c r="M44" s="63"/>
      <c r="N44" s="63">
        <v>-5076760.55</v>
      </c>
      <c r="O44" s="63">
        <v>-9044822.9400000013</v>
      </c>
      <c r="P44" s="63">
        <v>-6723651.0435824282</v>
      </c>
    </row>
    <row r="45" spans="2:16" x14ac:dyDescent="0.3">
      <c r="B45" s="54" t="s">
        <v>191</v>
      </c>
      <c r="C45" s="54" t="s">
        <v>232</v>
      </c>
      <c r="D45" s="63"/>
      <c r="E45" s="63"/>
      <c r="F45" s="63"/>
      <c r="G45" s="169"/>
      <c r="H45" s="63"/>
      <c r="I45" s="63"/>
      <c r="J45" s="54">
        <v>1</v>
      </c>
      <c r="L45" s="63"/>
      <c r="M45" s="63"/>
      <c r="N45" s="63">
        <v>117675.36</v>
      </c>
      <c r="O45" s="63">
        <v>41189.199999999997</v>
      </c>
      <c r="P45" s="63">
        <v>4022419.9047619049</v>
      </c>
    </row>
    <row r="46" spans="2:16" x14ac:dyDescent="0.3">
      <c r="B46" s="54" t="s">
        <v>192</v>
      </c>
      <c r="C46" s="54" t="s">
        <v>193</v>
      </c>
      <c r="D46" s="63"/>
      <c r="E46" s="63"/>
      <c r="F46" s="63"/>
      <c r="G46" s="169"/>
      <c r="H46" s="63"/>
      <c r="I46" s="63"/>
      <c r="J46" s="54">
        <v>1</v>
      </c>
      <c r="L46" s="63"/>
      <c r="M46" s="63"/>
      <c r="N46" s="63">
        <v>1079518.8890822835</v>
      </c>
      <c r="O46" s="63">
        <v>3794533.9886154411</v>
      </c>
      <c r="P46" s="63">
        <v>4210509.0979948705</v>
      </c>
    </row>
    <row r="47" spans="2:16" x14ac:dyDescent="0.3">
      <c r="B47" s="54" t="s">
        <v>194</v>
      </c>
      <c r="C47" s="54" t="s">
        <v>195</v>
      </c>
      <c r="D47" s="63"/>
      <c r="E47" s="63"/>
      <c r="F47" s="63"/>
      <c r="G47" s="169"/>
      <c r="H47" s="63"/>
      <c r="I47" s="63"/>
      <c r="J47" s="54">
        <v>1</v>
      </c>
      <c r="L47" s="63"/>
      <c r="M47" s="63"/>
      <c r="N47" s="63">
        <v>41009.19</v>
      </c>
      <c r="O47" s="63">
        <v>52855.490000000005</v>
      </c>
      <c r="P47" s="63">
        <v>247396.35865257145</v>
      </c>
    </row>
    <row r="48" spans="2:16" x14ac:dyDescent="0.3">
      <c r="B48" s="54" t="s">
        <v>196</v>
      </c>
      <c r="C48" s="54" t="s">
        <v>233</v>
      </c>
      <c r="D48" s="63"/>
      <c r="E48" s="63"/>
      <c r="F48" s="63"/>
      <c r="G48" s="169"/>
      <c r="H48" s="63"/>
      <c r="I48" s="63"/>
      <c r="J48" s="54">
        <v>1</v>
      </c>
      <c r="L48" s="63"/>
      <c r="M48" s="63"/>
      <c r="N48" s="63">
        <v>-1126973.8683342857</v>
      </c>
      <c r="O48" s="63">
        <v>-581932.92807619052</v>
      </c>
      <c r="P48" s="63">
        <v>-1077151.1693868572</v>
      </c>
    </row>
    <row r="49" spans="2:16" x14ac:dyDescent="0.3">
      <c r="B49" s="54" t="s">
        <v>234</v>
      </c>
      <c r="C49" s="54" t="s">
        <v>235</v>
      </c>
      <c r="D49" s="63"/>
      <c r="E49" s="63"/>
      <c r="F49" s="63"/>
      <c r="G49" s="169"/>
      <c r="H49" s="63"/>
      <c r="I49" s="63"/>
      <c r="J49" s="54">
        <v>1</v>
      </c>
      <c r="L49" s="63"/>
      <c r="M49" s="63"/>
      <c r="N49" s="63">
        <v>739876.03311407438</v>
      </c>
      <c r="O49" s="63">
        <v>1583476.2300061372</v>
      </c>
      <c r="P49" s="63">
        <v>0</v>
      </c>
    </row>
    <row r="50" spans="2:16" x14ac:dyDescent="0.3">
      <c r="B50" s="54" t="s">
        <v>50</v>
      </c>
      <c r="C50" s="54" t="s">
        <v>236</v>
      </c>
      <c r="D50" s="63"/>
      <c r="E50" s="63"/>
      <c r="F50" s="63"/>
      <c r="G50" s="169"/>
      <c r="H50" s="63"/>
      <c r="I50" s="63"/>
      <c r="J50" s="54">
        <v>1</v>
      </c>
      <c r="L50" s="63"/>
      <c r="M50" s="63"/>
      <c r="N50" s="63">
        <v>733430.24386207212</v>
      </c>
      <c r="O50" s="63">
        <v>4848931.7805453883</v>
      </c>
      <c r="P50" s="63">
        <v>3380754.2872605845</v>
      </c>
    </row>
    <row r="51" spans="2:16" x14ac:dyDescent="0.3">
      <c r="B51" s="54" t="s">
        <v>52</v>
      </c>
      <c r="C51" s="54" t="s">
        <v>237</v>
      </c>
      <c r="D51" s="63"/>
      <c r="E51" s="63"/>
      <c r="F51" s="63"/>
      <c r="G51" s="169"/>
      <c r="H51" s="63"/>
      <c r="I51" s="63"/>
      <c r="J51" s="54">
        <v>1</v>
      </c>
      <c r="L51" s="63"/>
      <c r="M51" s="63"/>
      <c r="N51" s="63">
        <v>-131261</v>
      </c>
      <c r="O51" s="63">
        <v>-377230</v>
      </c>
      <c r="P51" s="63">
        <v>-543338</v>
      </c>
    </row>
    <row r="52" spans="2:16" x14ac:dyDescent="0.3">
      <c r="B52" s="54" t="s">
        <v>238</v>
      </c>
      <c r="C52" s="54" t="s">
        <v>239</v>
      </c>
      <c r="D52" s="63"/>
      <c r="E52" s="63"/>
      <c r="F52" s="63"/>
      <c r="G52" s="169"/>
      <c r="H52" s="63"/>
      <c r="I52" s="63"/>
      <c r="J52" s="54">
        <v>1</v>
      </c>
      <c r="L52" s="63"/>
      <c r="M52" s="63"/>
      <c r="N52" s="63">
        <v>602169.24386207212</v>
      </c>
      <c r="O52" s="63">
        <v>4471701.7805453883</v>
      </c>
      <c r="P52" s="63">
        <v>2837416.2872605845</v>
      </c>
    </row>
    <row r="53" spans="2:16" x14ac:dyDescent="0.3">
      <c r="B53" s="54" t="s">
        <v>263</v>
      </c>
      <c r="C53" s="54" t="s">
        <v>240</v>
      </c>
      <c r="D53" s="63"/>
      <c r="E53" s="63"/>
      <c r="F53" s="63"/>
      <c r="G53" s="169"/>
      <c r="H53" s="63"/>
      <c r="I53" s="63"/>
      <c r="J53" s="54">
        <v>1</v>
      </c>
      <c r="L53" s="63"/>
      <c r="M53" s="63"/>
      <c r="N53" s="63">
        <v>602999.24386207212</v>
      </c>
      <c r="O53" s="63">
        <v>4470366.7805453883</v>
      </c>
      <c r="P53" s="63">
        <v>2838339.2872605845</v>
      </c>
    </row>
    <row r="54" spans="2:16" x14ac:dyDescent="0.3">
      <c r="B54" s="54" t="s">
        <v>264</v>
      </c>
      <c r="C54" s="54" t="s">
        <v>241</v>
      </c>
      <c r="D54" s="63"/>
      <c r="E54" s="63"/>
      <c r="F54" s="63"/>
      <c r="G54" s="169"/>
      <c r="H54" s="63"/>
      <c r="I54" s="63"/>
      <c r="J54" s="54">
        <v>1</v>
      </c>
      <c r="L54" s="63"/>
      <c r="M54" s="63"/>
      <c r="N54" s="63">
        <v>-830</v>
      </c>
      <c r="O54" s="63">
        <v>1335</v>
      </c>
      <c r="P54" s="63">
        <v>-923</v>
      </c>
    </row>
    <row r="55" spans="2:16" s="68" customFormat="1" x14ac:dyDescent="0.3">
      <c r="B55" s="68" t="s">
        <v>242</v>
      </c>
      <c r="C55" s="68" t="s">
        <v>243</v>
      </c>
      <c r="D55" s="70"/>
      <c r="E55" s="70"/>
      <c r="F55" s="70"/>
      <c r="G55" s="170"/>
      <c r="H55" s="70"/>
      <c r="I55" s="70"/>
      <c r="J55" s="54">
        <v>1</v>
      </c>
      <c r="K55" s="73"/>
      <c r="L55" s="63"/>
      <c r="M55" s="63"/>
      <c r="N55" s="63">
        <v>602169.24386207212</v>
      </c>
      <c r="O55" s="63">
        <v>4471701.7805453883</v>
      </c>
      <c r="P55" s="63">
        <v>2837416.2872605845</v>
      </c>
    </row>
    <row r="56" spans="2:16" x14ac:dyDescent="0.3">
      <c r="B56" s="54" t="s">
        <v>244</v>
      </c>
      <c r="C56" s="54" t="s">
        <v>245</v>
      </c>
      <c r="D56" s="63"/>
      <c r="E56" s="63"/>
      <c r="F56" s="63"/>
      <c r="G56" s="169"/>
      <c r="H56" s="63"/>
      <c r="I56" s="63"/>
      <c r="J56" s="54">
        <v>1</v>
      </c>
      <c r="L56" s="63"/>
      <c r="M56" s="63"/>
      <c r="N56" s="63">
        <v>82</v>
      </c>
      <c r="O56" s="63">
        <v>-2</v>
      </c>
      <c r="P56" s="63">
        <v>156</v>
      </c>
    </row>
    <row r="57" spans="2:16" x14ac:dyDescent="0.3">
      <c r="B57" s="54" t="s">
        <v>246</v>
      </c>
      <c r="C57" s="54" t="s">
        <v>247</v>
      </c>
      <c r="D57" s="63"/>
      <c r="E57" s="63"/>
      <c r="F57" s="63"/>
      <c r="G57" s="169"/>
      <c r="H57" s="63"/>
      <c r="I57" s="63"/>
      <c r="J57" s="54">
        <v>1</v>
      </c>
      <c r="L57" s="63"/>
      <c r="M57" s="63"/>
      <c r="N57" s="63"/>
      <c r="O57" s="63"/>
      <c r="P57" s="63"/>
    </row>
    <row r="58" spans="2:16" x14ac:dyDescent="0.3">
      <c r="B58" s="54" t="s">
        <v>248</v>
      </c>
      <c r="C58" s="54" t="s">
        <v>249</v>
      </c>
      <c r="D58" s="63"/>
      <c r="E58" s="63"/>
      <c r="F58" s="63"/>
      <c r="G58" s="169"/>
      <c r="H58" s="63"/>
      <c r="I58" s="63"/>
      <c r="J58" s="54">
        <v>1</v>
      </c>
      <c r="L58" s="63"/>
      <c r="M58" s="63"/>
      <c r="N58" s="63"/>
      <c r="O58" s="63"/>
      <c r="P58" s="63"/>
    </row>
    <row r="59" spans="2:16" x14ac:dyDescent="0.3">
      <c r="B59" s="54" t="s">
        <v>250</v>
      </c>
      <c r="C59" s="54" t="s">
        <v>251</v>
      </c>
      <c r="D59" s="63"/>
      <c r="E59" s="63"/>
      <c r="F59" s="63"/>
      <c r="G59" s="169"/>
      <c r="H59" s="63"/>
      <c r="I59" s="63"/>
      <c r="J59" s="54">
        <v>1</v>
      </c>
      <c r="L59" s="63"/>
      <c r="M59" s="63"/>
      <c r="N59" s="63">
        <v>602251.24386207212</v>
      </c>
      <c r="O59" s="63">
        <v>4471699.7805453883</v>
      </c>
      <c r="P59" s="63">
        <v>2837572.2872605845</v>
      </c>
    </row>
    <row r="60" spans="2:16" x14ac:dyDescent="0.3">
      <c r="B60" s="54" t="s">
        <v>254</v>
      </c>
      <c r="C60" s="54" t="s">
        <v>252</v>
      </c>
      <c r="D60" s="63"/>
      <c r="E60" s="63"/>
      <c r="F60" s="63"/>
      <c r="G60" s="169"/>
      <c r="H60" s="63"/>
      <c r="I60" s="63"/>
      <c r="J60" s="54">
        <v>1</v>
      </c>
      <c r="L60" s="63"/>
      <c r="M60" s="63"/>
      <c r="N60" s="63">
        <v>603081.24386207212</v>
      </c>
      <c r="O60" s="63">
        <v>4470364.7805453883</v>
      </c>
      <c r="P60" s="63">
        <v>2838495.2872605845</v>
      </c>
    </row>
    <row r="61" spans="2:16" x14ac:dyDescent="0.3">
      <c r="B61" s="54" t="s">
        <v>255</v>
      </c>
      <c r="C61" s="54" t="s">
        <v>253</v>
      </c>
      <c r="D61" s="63"/>
      <c r="E61" s="63"/>
      <c r="F61" s="63"/>
      <c r="G61" s="169"/>
      <c r="H61" s="63"/>
      <c r="I61" s="63"/>
      <c r="J61" s="54">
        <v>1</v>
      </c>
      <c r="L61" s="63"/>
      <c r="M61" s="63"/>
      <c r="N61" s="63">
        <v>-830</v>
      </c>
      <c r="O61" s="63">
        <v>1335</v>
      </c>
      <c r="P61" s="63">
        <v>-923</v>
      </c>
    </row>
    <row r="62" spans="2:16" x14ac:dyDescent="0.3">
      <c r="B62" s="54" t="s">
        <v>162</v>
      </c>
      <c r="C62" s="54" t="s">
        <v>162</v>
      </c>
      <c r="D62" s="63"/>
      <c r="E62" s="63"/>
      <c r="F62" s="63"/>
      <c r="G62" s="169"/>
      <c r="H62" s="63"/>
      <c r="I62" s="63"/>
      <c r="J62" s="54">
        <v>1</v>
      </c>
      <c r="L62" s="63"/>
      <c r="M62" s="63"/>
      <c r="N62" s="63">
        <v>3901984.9507479719</v>
      </c>
      <c r="O62" s="63">
        <v>6572210.8305392191</v>
      </c>
      <c r="P62" s="63">
        <v>2824874.7638460919</v>
      </c>
    </row>
    <row r="63" spans="2:16" x14ac:dyDescent="0.3">
      <c r="B63" s="54" t="s">
        <v>258</v>
      </c>
      <c r="C63" s="54" t="s">
        <v>145</v>
      </c>
      <c r="D63" s="63"/>
      <c r="E63" s="63"/>
      <c r="F63" s="63"/>
      <c r="G63" s="169"/>
      <c r="H63" s="63"/>
      <c r="I63" s="63"/>
      <c r="J63" s="54">
        <v>1</v>
      </c>
      <c r="L63" s="63"/>
      <c r="M63" s="63"/>
      <c r="N63" s="63">
        <v>61111135.769019611</v>
      </c>
      <c r="O63" s="63">
        <v>78563835.220043853</v>
      </c>
      <c r="P63" s="63">
        <v>66619675.870000005</v>
      </c>
    </row>
    <row r="64" spans="2:16" x14ac:dyDescent="0.3">
      <c r="B64" s="54" t="s">
        <v>259</v>
      </c>
      <c r="C64" s="54" t="s">
        <v>257</v>
      </c>
      <c r="D64" s="63"/>
      <c r="E64" s="63"/>
      <c r="F64" s="63"/>
      <c r="G64" s="169"/>
      <c r="H64" s="63"/>
      <c r="I64" s="63"/>
      <c r="J64" s="54">
        <v>1</v>
      </c>
      <c r="L64" s="63"/>
      <c r="M64" s="63"/>
      <c r="N64" s="63">
        <v>4111542.3080371786</v>
      </c>
      <c r="O64" s="63">
        <v>4191998.304409449</v>
      </c>
      <c r="P64" s="63">
        <v>3030774.19</v>
      </c>
    </row>
    <row r="65" spans="2:16" x14ac:dyDescent="0.3">
      <c r="B65" s="54" t="s">
        <v>56</v>
      </c>
      <c r="C65" s="54" t="s">
        <v>61</v>
      </c>
      <c r="D65" s="63"/>
      <c r="E65" s="63"/>
      <c r="F65" s="63"/>
      <c r="G65" s="169"/>
      <c r="H65" s="63"/>
      <c r="I65" s="63"/>
      <c r="J65" s="54">
        <v>1</v>
      </c>
      <c r="L65" s="63"/>
      <c r="M65" s="63"/>
      <c r="N65" s="63">
        <v>673248.48000000021</v>
      </c>
      <c r="O65" s="63">
        <v>927024.20999999973</v>
      </c>
      <c r="P65" s="63">
        <v>1285493.02</v>
      </c>
    </row>
    <row r="66" spans="2:16" x14ac:dyDescent="0.3">
      <c r="B66" s="54" t="s">
        <v>57</v>
      </c>
      <c r="C66" s="54" t="s">
        <v>62</v>
      </c>
      <c r="D66" s="63"/>
      <c r="E66" s="63"/>
      <c r="F66" s="63"/>
      <c r="G66" s="169"/>
      <c r="H66" s="63"/>
      <c r="I66" s="63"/>
      <c r="J66" s="54">
        <v>1</v>
      </c>
      <c r="L66" s="63"/>
      <c r="M66" s="63"/>
      <c r="N66" s="63">
        <v>7099548.3660947885</v>
      </c>
      <c r="O66" s="63">
        <v>6095418.8349564169</v>
      </c>
      <c r="P66" s="63">
        <v>16453521.210000001</v>
      </c>
    </row>
    <row r="67" spans="2:16" x14ac:dyDescent="0.3">
      <c r="B67" s="54" t="s">
        <v>58</v>
      </c>
      <c r="C67" s="54" t="s">
        <v>63</v>
      </c>
      <c r="D67" s="63"/>
      <c r="E67" s="63"/>
      <c r="F67" s="63"/>
      <c r="G67" s="169"/>
      <c r="H67" s="63"/>
      <c r="I67" s="63"/>
      <c r="J67" s="54">
        <v>1</v>
      </c>
      <c r="L67" s="63"/>
      <c r="M67" s="63"/>
      <c r="N67" s="63">
        <v>848505.78</v>
      </c>
      <c r="O67" s="63">
        <v>5586867.5199999996</v>
      </c>
      <c r="P67" s="63">
        <v>2483286.3699999996</v>
      </c>
    </row>
    <row r="68" spans="2:16" x14ac:dyDescent="0.3">
      <c r="B68" s="54" t="s">
        <v>53</v>
      </c>
      <c r="C68" s="54" t="s">
        <v>54</v>
      </c>
      <c r="D68" s="63"/>
      <c r="E68" s="63"/>
      <c r="F68" s="63"/>
      <c r="G68" s="169"/>
      <c r="H68" s="63"/>
      <c r="I68" s="63"/>
      <c r="J68" s="54">
        <v>1</v>
      </c>
      <c r="L68" s="63"/>
      <c r="M68" s="63"/>
      <c r="N68" s="63">
        <v>134335.52000000002</v>
      </c>
      <c r="O68" s="63">
        <v>137236.01000000071</v>
      </c>
      <c r="P68" s="63">
        <v>131458.89000000001</v>
      </c>
    </row>
    <row r="69" spans="2:16" x14ac:dyDescent="0.3">
      <c r="B69" s="54" t="s">
        <v>71</v>
      </c>
      <c r="C69" s="54" t="s">
        <v>103</v>
      </c>
      <c r="D69" s="63"/>
      <c r="E69" s="63"/>
      <c r="F69" s="63"/>
      <c r="G69" s="169"/>
      <c r="H69" s="63"/>
      <c r="I69" s="63"/>
      <c r="J69" s="54">
        <v>1</v>
      </c>
      <c r="L69" s="63"/>
      <c r="M69" s="63"/>
      <c r="N69" s="63">
        <v>936423.2</v>
      </c>
      <c r="O69" s="63">
        <v>936422.94</v>
      </c>
      <c r="P69" s="63">
        <v>900054.2</v>
      </c>
    </row>
    <row r="70" spans="2:16" x14ac:dyDescent="0.3">
      <c r="B70" s="54" t="s">
        <v>69</v>
      </c>
      <c r="C70" s="54" t="s">
        <v>101</v>
      </c>
      <c r="D70" s="63"/>
      <c r="E70" s="63"/>
      <c r="F70" s="63"/>
      <c r="G70" s="169"/>
      <c r="H70" s="63"/>
      <c r="I70" s="63"/>
      <c r="J70" s="54">
        <v>1</v>
      </c>
      <c r="L70" s="63"/>
      <c r="M70" s="63"/>
      <c r="N70" s="63">
        <v>420036.11</v>
      </c>
      <c r="O70" s="63">
        <v>485246.55999999994</v>
      </c>
      <c r="P70" s="63">
        <v>778940.62</v>
      </c>
    </row>
    <row r="71" spans="2:16" x14ac:dyDescent="0.3">
      <c r="B71" s="54" t="s">
        <v>70</v>
      </c>
      <c r="C71" s="54" t="s">
        <v>102</v>
      </c>
      <c r="D71" s="63"/>
      <c r="E71" s="63"/>
      <c r="F71" s="63"/>
      <c r="G71" s="169"/>
      <c r="H71" s="63"/>
      <c r="I71" s="63"/>
      <c r="J71" s="54">
        <v>1</v>
      </c>
      <c r="L71" s="63"/>
      <c r="M71" s="63"/>
      <c r="N71" s="63">
        <v>3745806.38</v>
      </c>
      <c r="O71" s="63">
        <v>3691726.8800000008</v>
      </c>
      <c r="P71" s="63">
        <v>3620792.3500000006</v>
      </c>
    </row>
    <row r="72" spans="2:16" x14ac:dyDescent="0.3">
      <c r="D72" s="63"/>
      <c r="E72" s="63"/>
      <c r="F72" s="63"/>
      <c r="G72" s="169"/>
      <c r="H72" s="63"/>
      <c r="I72" s="63"/>
      <c r="L72" s="63"/>
      <c r="M72" s="63"/>
      <c r="N72" s="63"/>
      <c r="O72" s="63"/>
      <c r="P72" s="63"/>
    </row>
    <row r="73" spans="2:16" x14ac:dyDescent="0.3">
      <c r="D73" s="63"/>
      <c r="E73" s="63"/>
      <c r="F73" s="63"/>
      <c r="G73" s="169"/>
      <c r="H73" s="63"/>
      <c r="I73" s="63"/>
      <c r="L73" s="63"/>
      <c r="M73" s="63"/>
      <c r="N73" s="63"/>
      <c r="O73" s="63"/>
      <c r="P73" s="63"/>
    </row>
    <row r="74" spans="2:16" x14ac:dyDescent="0.3">
      <c r="D74" s="63"/>
      <c r="E74" s="63"/>
      <c r="F74" s="63"/>
      <c r="G74" s="169"/>
      <c r="H74" s="63"/>
      <c r="I74" s="63"/>
      <c r="L74" s="63"/>
      <c r="M74" s="63"/>
      <c r="N74" s="63"/>
      <c r="O74" s="63"/>
      <c r="P74" s="63"/>
    </row>
    <row r="75" spans="2:16" x14ac:dyDescent="0.3">
      <c r="D75" s="63"/>
      <c r="E75" s="63"/>
      <c r="F75" s="63"/>
      <c r="G75" s="169"/>
      <c r="H75" s="63"/>
      <c r="I75" s="63"/>
      <c r="L75" s="63"/>
      <c r="M75" s="63"/>
      <c r="N75" s="63"/>
      <c r="O75" s="63"/>
      <c r="P75" s="63"/>
    </row>
    <row r="76" spans="2:16" x14ac:dyDescent="0.3">
      <c r="D76" s="63"/>
      <c r="E76" s="63"/>
      <c r="F76" s="63"/>
      <c r="G76" s="169"/>
      <c r="H76" s="63"/>
      <c r="I76" s="63"/>
      <c r="L76" s="63"/>
      <c r="M76" s="63"/>
      <c r="N76" s="63"/>
      <c r="O76" s="63"/>
      <c r="P76" s="63"/>
    </row>
    <row r="77" spans="2:16" x14ac:dyDescent="0.3">
      <c r="D77" s="63"/>
      <c r="E77" s="63"/>
      <c r="F77" s="63"/>
      <c r="G77" s="169"/>
      <c r="H77" s="63"/>
      <c r="I77" s="63"/>
      <c r="L77" s="63"/>
      <c r="M77" s="63"/>
      <c r="N77" s="63"/>
      <c r="O77" s="63"/>
      <c r="P77" s="63"/>
    </row>
    <row r="78" spans="2:16" x14ac:dyDescent="0.3">
      <c r="D78" s="63"/>
      <c r="E78" s="63"/>
      <c r="F78" s="63"/>
      <c r="G78" s="169"/>
      <c r="H78" s="63"/>
      <c r="I78" s="63"/>
      <c r="L78" s="63"/>
      <c r="M78" s="63"/>
      <c r="N78" s="63"/>
      <c r="O78" s="63"/>
      <c r="P78" s="63"/>
    </row>
    <row r="79" spans="2:16" x14ac:dyDescent="0.3">
      <c r="D79" s="63"/>
      <c r="E79" s="63"/>
      <c r="F79" s="63"/>
      <c r="G79" s="169"/>
      <c r="H79" s="63"/>
      <c r="I79" s="63"/>
      <c r="L79" s="63"/>
      <c r="M79" s="63"/>
      <c r="N79" s="63"/>
      <c r="O79" s="63"/>
      <c r="P79" s="63"/>
    </row>
    <row r="80" spans="2:16" x14ac:dyDescent="0.3">
      <c r="D80" s="63"/>
      <c r="E80" s="63"/>
      <c r="F80" s="63"/>
      <c r="G80" s="169"/>
      <c r="H80" s="63"/>
      <c r="I80" s="63"/>
      <c r="L80" s="63"/>
      <c r="M80" s="63"/>
      <c r="N80" s="63"/>
      <c r="O80" s="63"/>
      <c r="P80" s="63"/>
    </row>
    <row r="81" spans="4:16" x14ac:dyDescent="0.3">
      <c r="D81" s="63"/>
      <c r="E81" s="63"/>
      <c r="F81" s="63"/>
      <c r="G81" s="169"/>
      <c r="H81" s="63"/>
      <c r="I81" s="63"/>
      <c r="L81" s="63"/>
      <c r="M81" s="63"/>
      <c r="N81" s="63"/>
      <c r="O81" s="63"/>
      <c r="P81" s="63"/>
    </row>
    <row r="82" spans="4:16" x14ac:dyDescent="0.3">
      <c r="D82" s="63"/>
      <c r="E82" s="63"/>
      <c r="F82" s="63"/>
      <c r="G82" s="169"/>
      <c r="H82" s="63"/>
      <c r="I82" s="63"/>
      <c r="L82" s="63"/>
      <c r="M82" s="63"/>
      <c r="N82" s="63"/>
      <c r="O82" s="63"/>
      <c r="P82" s="63"/>
    </row>
    <row r="83" spans="4:16" x14ac:dyDescent="0.3">
      <c r="D83" s="63"/>
      <c r="E83" s="63"/>
      <c r="F83" s="63"/>
      <c r="G83" s="169"/>
      <c r="H83" s="63"/>
      <c r="I83" s="63"/>
      <c r="L83" s="63"/>
      <c r="M83" s="63"/>
      <c r="N83" s="63"/>
      <c r="O83" s="63"/>
      <c r="P83" s="63"/>
    </row>
    <row r="84" spans="4:16" x14ac:dyDescent="0.3">
      <c r="D84" s="63"/>
      <c r="E84" s="63"/>
      <c r="F84" s="63"/>
      <c r="G84" s="169"/>
      <c r="H84" s="63"/>
      <c r="I84" s="63"/>
      <c r="L84" s="63"/>
      <c r="M84" s="63"/>
      <c r="N84" s="63"/>
      <c r="O84" s="63"/>
      <c r="P84" s="63"/>
    </row>
    <row r="85" spans="4:16" x14ac:dyDescent="0.3">
      <c r="D85" s="63"/>
      <c r="E85" s="63"/>
      <c r="F85" s="63"/>
      <c r="G85" s="169"/>
      <c r="H85" s="63"/>
      <c r="I85" s="63"/>
      <c r="L85" s="63"/>
      <c r="M85" s="63"/>
      <c r="N85" s="63"/>
      <c r="O85" s="63"/>
      <c r="P85" s="63"/>
    </row>
    <row r="86" spans="4:16" x14ac:dyDescent="0.3">
      <c r="D86" s="63"/>
      <c r="E86" s="63"/>
      <c r="F86" s="63"/>
      <c r="G86" s="169"/>
      <c r="H86" s="63"/>
      <c r="I86" s="63"/>
      <c r="L86" s="63"/>
      <c r="M86" s="63"/>
      <c r="N86" s="63"/>
      <c r="O86" s="63"/>
      <c r="P86" s="63"/>
    </row>
    <row r="87" spans="4:16" x14ac:dyDescent="0.3">
      <c r="D87" s="63"/>
      <c r="E87" s="63"/>
      <c r="F87" s="63"/>
      <c r="G87" s="169"/>
      <c r="H87" s="63"/>
      <c r="I87" s="63"/>
      <c r="L87" s="63"/>
      <c r="M87" s="63"/>
      <c r="N87" s="63"/>
      <c r="O87" s="63"/>
      <c r="P87" s="63"/>
    </row>
    <row r="88" spans="4:16" x14ac:dyDescent="0.3">
      <c r="D88" s="63"/>
      <c r="E88" s="63"/>
      <c r="F88" s="63"/>
      <c r="G88" s="169"/>
      <c r="H88" s="63"/>
      <c r="I88" s="63"/>
      <c r="L88" s="63"/>
      <c r="M88" s="63"/>
      <c r="N88" s="63"/>
      <c r="O88" s="63"/>
      <c r="P88" s="63"/>
    </row>
    <row r="89" spans="4:16" x14ac:dyDescent="0.3">
      <c r="D89" s="63"/>
      <c r="E89" s="63"/>
      <c r="F89" s="63"/>
      <c r="G89" s="169"/>
      <c r="H89" s="63"/>
      <c r="I89" s="63"/>
      <c r="L89" s="63"/>
      <c r="M89" s="63"/>
      <c r="N89" s="63"/>
      <c r="O89" s="63"/>
      <c r="P89" s="63"/>
    </row>
    <row r="90" spans="4:16" x14ac:dyDescent="0.3">
      <c r="D90" s="63"/>
      <c r="E90" s="63"/>
      <c r="F90" s="63"/>
      <c r="G90" s="169"/>
      <c r="H90" s="63"/>
      <c r="I90" s="63"/>
      <c r="L90" s="63"/>
      <c r="M90" s="63"/>
      <c r="N90" s="63"/>
      <c r="O90" s="63"/>
      <c r="P90" s="63"/>
    </row>
    <row r="91" spans="4:16" x14ac:dyDescent="0.3">
      <c r="D91" s="63"/>
      <c r="E91" s="63"/>
      <c r="F91" s="63"/>
      <c r="G91" s="169"/>
      <c r="H91" s="63"/>
      <c r="I91" s="63"/>
      <c r="L91" s="63"/>
      <c r="M91" s="63"/>
      <c r="N91" s="63"/>
      <c r="O91" s="63"/>
      <c r="P91" s="63"/>
    </row>
    <row r="92" spans="4:16" x14ac:dyDescent="0.3">
      <c r="D92" s="63"/>
      <c r="E92" s="63"/>
      <c r="F92" s="63"/>
      <c r="G92" s="169"/>
      <c r="H92" s="63"/>
      <c r="I92" s="63"/>
      <c r="L92" s="63"/>
      <c r="M92" s="63"/>
      <c r="N92" s="63"/>
      <c r="O92" s="63"/>
      <c r="P92" s="63"/>
    </row>
    <row r="93" spans="4:16" x14ac:dyDescent="0.3">
      <c r="D93" s="63"/>
      <c r="E93" s="63"/>
      <c r="F93" s="63"/>
      <c r="G93" s="169"/>
      <c r="H93" s="63"/>
      <c r="I93" s="63"/>
      <c r="L93" s="63"/>
      <c r="M93" s="63"/>
      <c r="N93" s="63"/>
      <c r="O93" s="63"/>
      <c r="P93" s="63"/>
    </row>
    <row r="94" spans="4:16" x14ac:dyDescent="0.3">
      <c r="D94" s="63"/>
      <c r="E94" s="63"/>
      <c r="F94" s="63"/>
      <c r="G94" s="169"/>
      <c r="H94" s="63"/>
      <c r="I94" s="63"/>
      <c r="L94" s="63"/>
      <c r="M94" s="63"/>
      <c r="N94" s="63"/>
      <c r="O94" s="63"/>
      <c r="P94" s="63"/>
    </row>
    <row r="95" spans="4:16" x14ac:dyDescent="0.3">
      <c r="D95" s="63"/>
      <c r="E95" s="63"/>
      <c r="F95" s="63"/>
      <c r="G95" s="169"/>
      <c r="H95" s="63"/>
      <c r="I95" s="63"/>
      <c r="L95" s="63"/>
      <c r="M95" s="63"/>
      <c r="N95" s="63"/>
      <c r="O95" s="63"/>
      <c r="P95" s="63"/>
    </row>
    <row r="96" spans="4:16" x14ac:dyDescent="0.3">
      <c r="D96" s="63"/>
      <c r="E96" s="63"/>
      <c r="F96" s="63"/>
      <c r="G96" s="169"/>
      <c r="H96" s="63"/>
      <c r="I96" s="63"/>
      <c r="L96" s="63"/>
      <c r="M96" s="63"/>
      <c r="N96" s="63"/>
      <c r="O96" s="63"/>
      <c r="P96" s="63"/>
    </row>
    <row r="97" spans="4:16" x14ac:dyDescent="0.3">
      <c r="D97" s="63"/>
      <c r="E97" s="63"/>
      <c r="F97" s="63"/>
      <c r="G97" s="169"/>
      <c r="H97" s="63"/>
      <c r="I97" s="63"/>
      <c r="L97" s="63"/>
      <c r="M97" s="63"/>
      <c r="N97" s="63"/>
      <c r="O97" s="63"/>
      <c r="P97" s="63"/>
    </row>
    <row r="98" spans="4:16" x14ac:dyDescent="0.3">
      <c r="D98" s="63"/>
      <c r="E98" s="63"/>
      <c r="F98" s="63"/>
      <c r="G98" s="169"/>
      <c r="H98" s="63"/>
      <c r="I98" s="63"/>
      <c r="L98" s="63"/>
      <c r="M98" s="63"/>
      <c r="N98" s="63"/>
      <c r="O98" s="63"/>
      <c r="P98" s="63"/>
    </row>
    <row r="99" spans="4:16" x14ac:dyDescent="0.3">
      <c r="D99" s="63"/>
      <c r="E99" s="63"/>
      <c r="F99" s="63"/>
      <c r="G99" s="169"/>
      <c r="H99" s="63"/>
      <c r="I99" s="63"/>
      <c r="L99" s="63"/>
      <c r="M99" s="63"/>
      <c r="N99" s="63"/>
      <c r="O99" s="63"/>
      <c r="P99" s="63"/>
    </row>
    <row r="100" spans="4:16" x14ac:dyDescent="0.3">
      <c r="D100" s="63"/>
      <c r="E100" s="63"/>
      <c r="F100" s="63"/>
      <c r="G100" s="169"/>
      <c r="H100" s="63"/>
      <c r="I100" s="63"/>
      <c r="L100" s="63"/>
      <c r="M100" s="63"/>
      <c r="N100" s="63"/>
      <c r="O100" s="63"/>
      <c r="P100" s="63"/>
    </row>
    <row r="101" spans="4:16" x14ac:dyDescent="0.3">
      <c r="D101" s="63"/>
      <c r="E101" s="63"/>
      <c r="F101" s="63"/>
      <c r="G101" s="169"/>
      <c r="H101" s="63"/>
      <c r="I101" s="63"/>
      <c r="L101" s="63"/>
      <c r="M101" s="63"/>
      <c r="N101" s="63"/>
      <c r="O101" s="63"/>
      <c r="P101" s="63"/>
    </row>
    <row r="102" spans="4:16" x14ac:dyDescent="0.3">
      <c r="D102" s="63"/>
      <c r="E102" s="63"/>
      <c r="F102" s="63"/>
      <c r="G102" s="169"/>
      <c r="H102" s="63"/>
      <c r="I102" s="63"/>
      <c r="L102" s="63"/>
      <c r="M102" s="63"/>
      <c r="N102" s="63"/>
      <c r="O102" s="63"/>
      <c r="P102" s="63"/>
    </row>
    <row r="103" spans="4:16" x14ac:dyDescent="0.3">
      <c r="D103" s="63"/>
      <c r="E103" s="63"/>
      <c r="F103" s="63"/>
      <c r="G103" s="169"/>
      <c r="H103" s="63"/>
      <c r="I103" s="63"/>
      <c r="L103" s="63"/>
      <c r="M103" s="63"/>
      <c r="N103" s="63"/>
      <c r="O103" s="63"/>
      <c r="P103" s="63"/>
    </row>
    <row r="104" spans="4:16" x14ac:dyDescent="0.3">
      <c r="D104" s="63"/>
      <c r="E104" s="63"/>
      <c r="F104" s="63"/>
      <c r="G104" s="169"/>
      <c r="H104" s="63"/>
      <c r="I104" s="63"/>
      <c r="L104" s="63"/>
      <c r="M104" s="63"/>
      <c r="N104" s="63"/>
      <c r="O104" s="63"/>
      <c r="P104" s="63"/>
    </row>
    <row r="105" spans="4:16" x14ac:dyDescent="0.3">
      <c r="D105" s="63"/>
      <c r="E105" s="63"/>
      <c r="F105" s="63"/>
      <c r="G105" s="169"/>
      <c r="H105" s="63"/>
      <c r="I105" s="63"/>
      <c r="L105" s="63"/>
      <c r="M105" s="63"/>
      <c r="N105" s="63"/>
      <c r="O105" s="63"/>
      <c r="P105" s="63"/>
    </row>
    <row r="106" spans="4:16" x14ac:dyDescent="0.3">
      <c r="D106" s="63"/>
      <c r="E106" s="63"/>
      <c r="F106" s="63"/>
      <c r="G106" s="169"/>
      <c r="H106" s="63"/>
      <c r="I106" s="63"/>
      <c r="L106" s="63"/>
      <c r="M106" s="63"/>
      <c r="N106" s="63"/>
      <c r="O106" s="63"/>
      <c r="P106" s="63"/>
    </row>
    <row r="107" spans="4:16" x14ac:dyDescent="0.3">
      <c r="D107" s="63"/>
      <c r="E107" s="63"/>
      <c r="F107" s="63"/>
      <c r="G107" s="169"/>
      <c r="H107" s="63"/>
      <c r="I107" s="63"/>
      <c r="L107" s="63"/>
      <c r="M107" s="63"/>
      <c r="N107" s="63"/>
      <c r="O107" s="63"/>
      <c r="P107" s="63"/>
    </row>
    <row r="108" spans="4:16" x14ac:dyDescent="0.3">
      <c r="D108" s="63"/>
      <c r="E108" s="63"/>
      <c r="F108" s="63"/>
      <c r="G108" s="169"/>
      <c r="H108" s="63"/>
      <c r="I108" s="63"/>
      <c r="L108" s="63"/>
      <c r="M108" s="63"/>
      <c r="N108" s="63"/>
      <c r="O108" s="63"/>
      <c r="P108" s="63"/>
    </row>
    <row r="109" spans="4:16" x14ac:dyDescent="0.3">
      <c r="D109" s="63"/>
      <c r="E109" s="63"/>
      <c r="F109" s="63"/>
      <c r="G109" s="169"/>
      <c r="H109" s="63"/>
      <c r="I109" s="63"/>
      <c r="L109" s="63"/>
      <c r="M109" s="63"/>
      <c r="N109" s="63"/>
      <c r="O109" s="63"/>
      <c r="P109" s="63"/>
    </row>
    <row r="110" spans="4:16" x14ac:dyDescent="0.3">
      <c r="D110" s="63"/>
      <c r="E110" s="63"/>
      <c r="F110" s="63"/>
      <c r="G110" s="169"/>
      <c r="H110" s="63"/>
      <c r="I110" s="63"/>
      <c r="L110" s="63"/>
      <c r="M110" s="63"/>
      <c r="N110" s="63"/>
      <c r="O110" s="63"/>
      <c r="P110" s="63"/>
    </row>
    <row r="111" spans="4:16" x14ac:dyDescent="0.3">
      <c r="D111" s="63"/>
      <c r="E111" s="63"/>
      <c r="F111" s="63"/>
      <c r="G111" s="169"/>
      <c r="H111" s="63"/>
      <c r="I111" s="63"/>
      <c r="L111" s="63"/>
      <c r="M111" s="63"/>
      <c r="N111" s="63"/>
      <c r="O111" s="63"/>
      <c r="P111" s="63"/>
    </row>
    <row r="112" spans="4:16" x14ac:dyDescent="0.3">
      <c r="D112" s="63"/>
      <c r="E112" s="63"/>
      <c r="F112" s="63"/>
      <c r="G112" s="169"/>
      <c r="H112" s="63"/>
      <c r="I112" s="63"/>
      <c r="L112" s="63"/>
      <c r="M112" s="63"/>
      <c r="N112" s="63"/>
      <c r="O112" s="63"/>
      <c r="P112" s="63"/>
    </row>
    <row r="113" spans="4:16" x14ac:dyDescent="0.3">
      <c r="D113" s="63"/>
      <c r="E113" s="63"/>
      <c r="F113" s="63"/>
      <c r="G113" s="169"/>
      <c r="H113" s="63"/>
      <c r="I113" s="63"/>
      <c r="L113" s="63"/>
      <c r="M113" s="63"/>
      <c r="N113" s="63"/>
      <c r="O113" s="63"/>
      <c r="P113" s="63"/>
    </row>
    <row r="114" spans="4:16" x14ac:dyDescent="0.3">
      <c r="D114" s="63"/>
      <c r="E114" s="63"/>
      <c r="F114" s="63"/>
      <c r="G114" s="169"/>
      <c r="H114" s="63"/>
      <c r="I114" s="63"/>
      <c r="L114" s="63"/>
      <c r="M114" s="63"/>
      <c r="N114" s="63"/>
      <c r="O114" s="63"/>
      <c r="P114" s="63"/>
    </row>
    <row r="115" spans="4:16" x14ac:dyDescent="0.3">
      <c r="D115" s="63"/>
      <c r="E115" s="63"/>
      <c r="F115" s="63"/>
      <c r="G115" s="169"/>
      <c r="H115" s="63"/>
      <c r="I115" s="63"/>
      <c r="L115" s="63"/>
      <c r="M115" s="63"/>
      <c r="N115" s="63"/>
      <c r="O115" s="63"/>
      <c r="P115" s="63"/>
    </row>
    <row r="116" spans="4:16" x14ac:dyDescent="0.3">
      <c r="D116" s="63"/>
      <c r="E116" s="63"/>
      <c r="F116" s="63"/>
      <c r="G116" s="169"/>
      <c r="H116" s="63"/>
      <c r="I116" s="63"/>
      <c r="L116" s="63"/>
      <c r="M116" s="63"/>
      <c r="N116" s="63"/>
      <c r="O116" s="63"/>
      <c r="P116" s="63"/>
    </row>
    <row r="117" spans="4:16" x14ac:dyDescent="0.3">
      <c r="D117" s="63"/>
      <c r="E117" s="63"/>
      <c r="F117" s="63"/>
      <c r="G117" s="169"/>
      <c r="H117" s="63"/>
      <c r="I117" s="63"/>
      <c r="L117" s="63"/>
      <c r="M117" s="63"/>
      <c r="N117" s="63"/>
      <c r="O117" s="63"/>
      <c r="P117" s="63"/>
    </row>
    <row r="118" spans="4:16" x14ac:dyDescent="0.3">
      <c r="D118" s="63"/>
      <c r="E118" s="63"/>
      <c r="F118" s="63"/>
      <c r="G118" s="169"/>
      <c r="H118" s="63"/>
      <c r="I118" s="63"/>
      <c r="L118" s="63"/>
      <c r="M118" s="63"/>
      <c r="N118" s="63"/>
      <c r="O118" s="63"/>
      <c r="P118" s="63"/>
    </row>
    <row r="119" spans="4:16" x14ac:dyDescent="0.3">
      <c r="D119" s="63"/>
      <c r="E119" s="63"/>
      <c r="F119" s="63"/>
      <c r="G119" s="169"/>
      <c r="H119" s="63"/>
      <c r="I119" s="63"/>
      <c r="L119" s="63"/>
      <c r="M119" s="63"/>
      <c r="N119" s="63"/>
      <c r="O119" s="63"/>
      <c r="P119" s="63"/>
    </row>
    <row r="120" spans="4:16" x14ac:dyDescent="0.3">
      <c r="D120" s="63"/>
      <c r="E120" s="63"/>
      <c r="F120" s="63"/>
      <c r="G120" s="169"/>
      <c r="H120" s="63"/>
      <c r="I120" s="63"/>
      <c r="L120" s="63"/>
      <c r="M120" s="63"/>
      <c r="N120" s="63"/>
      <c r="O120" s="63"/>
      <c r="P120" s="63"/>
    </row>
    <row r="121" spans="4:16" x14ac:dyDescent="0.3">
      <c r="D121" s="63"/>
      <c r="E121" s="63"/>
      <c r="F121" s="63"/>
      <c r="G121" s="169"/>
      <c r="H121" s="63"/>
      <c r="I121" s="63"/>
      <c r="L121" s="63"/>
      <c r="M121" s="63"/>
      <c r="N121" s="63"/>
      <c r="O121" s="63"/>
      <c r="P121" s="63"/>
    </row>
    <row r="122" spans="4:16" x14ac:dyDescent="0.3">
      <c r="D122" s="63"/>
      <c r="E122" s="63"/>
      <c r="F122" s="63"/>
      <c r="G122" s="169"/>
      <c r="H122" s="63"/>
      <c r="I122" s="63"/>
      <c r="L122" s="63"/>
      <c r="M122" s="63"/>
      <c r="N122" s="63"/>
      <c r="O122" s="63"/>
      <c r="P122" s="63"/>
    </row>
    <row r="123" spans="4:16" s="68" customFormat="1" x14ac:dyDescent="0.3">
      <c r="D123" s="70"/>
      <c r="E123" s="70"/>
      <c r="F123" s="70"/>
      <c r="G123" s="170"/>
      <c r="H123" s="70"/>
      <c r="I123" s="70"/>
      <c r="J123" s="54"/>
      <c r="K123" s="73"/>
      <c r="L123" s="63"/>
      <c r="M123" s="63"/>
      <c r="N123" s="63"/>
      <c r="O123" s="63"/>
      <c r="P123" s="63"/>
    </row>
    <row r="124" spans="4:16" x14ac:dyDescent="0.3">
      <c r="D124" s="63"/>
      <c r="E124" s="63"/>
      <c r="F124" s="63"/>
      <c r="G124" s="169"/>
      <c r="H124" s="63"/>
      <c r="I124" s="63"/>
      <c r="L124" s="63"/>
      <c r="M124" s="63"/>
      <c r="N124" s="63"/>
      <c r="O124" s="63"/>
      <c r="P124" s="63"/>
    </row>
    <row r="125" spans="4:16" x14ac:dyDescent="0.3">
      <c r="D125" s="63"/>
      <c r="E125" s="63"/>
      <c r="F125" s="63"/>
      <c r="G125" s="169"/>
      <c r="H125" s="63"/>
      <c r="I125" s="63"/>
      <c r="L125" s="63"/>
      <c r="M125" s="63"/>
      <c r="N125" s="63"/>
      <c r="O125" s="63"/>
      <c r="P125" s="63"/>
    </row>
    <row r="126" spans="4:16" x14ac:dyDescent="0.3">
      <c r="D126" s="63"/>
      <c r="E126" s="63"/>
      <c r="F126" s="63"/>
      <c r="G126" s="169"/>
      <c r="H126" s="63"/>
      <c r="I126" s="63"/>
      <c r="L126" s="63"/>
      <c r="M126" s="63"/>
      <c r="N126" s="63"/>
      <c r="O126" s="63"/>
      <c r="P126" s="63"/>
    </row>
    <row r="127" spans="4:16" x14ac:dyDescent="0.3">
      <c r="D127" s="63"/>
      <c r="E127" s="63"/>
      <c r="F127" s="63"/>
      <c r="G127" s="169"/>
      <c r="H127" s="63"/>
      <c r="I127" s="63"/>
      <c r="L127" s="63"/>
      <c r="M127" s="63"/>
      <c r="N127" s="63"/>
      <c r="O127" s="63"/>
      <c r="P127" s="63"/>
    </row>
    <row r="128" spans="4:16" x14ac:dyDescent="0.3">
      <c r="D128" s="63"/>
      <c r="E128" s="63"/>
      <c r="F128" s="63"/>
      <c r="G128" s="169"/>
      <c r="H128" s="63"/>
      <c r="I128" s="63"/>
      <c r="L128" s="63"/>
      <c r="M128" s="63"/>
      <c r="N128" s="63"/>
      <c r="O128" s="63"/>
      <c r="P128" s="63"/>
    </row>
    <row r="129" spans="4:16" x14ac:dyDescent="0.3">
      <c r="D129" s="63"/>
      <c r="E129" s="63"/>
      <c r="F129" s="63"/>
      <c r="G129" s="169"/>
      <c r="H129" s="63"/>
      <c r="I129" s="63"/>
      <c r="L129" s="63"/>
      <c r="M129" s="63"/>
      <c r="N129" s="63"/>
      <c r="O129" s="63"/>
      <c r="P129" s="63"/>
    </row>
    <row r="130" spans="4:16" x14ac:dyDescent="0.3">
      <c r="D130" s="63"/>
      <c r="E130" s="63"/>
      <c r="F130" s="63"/>
      <c r="G130" s="169"/>
      <c r="H130" s="63"/>
      <c r="I130" s="63"/>
      <c r="L130" s="63"/>
      <c r="M130" s="63"/>
      <c r="N130" s="63"/>
      <c r="O130" s="63"/>
      <c r="P130" s="63"/>
    </row>
    <row r="131" spans="4:16" x14ac:dyDescent="0.3">
      <c r="D131" s="63"/>
      <c r="E131" s="63"/>
      <c r="F131" s="63"/>
      <c r="G131" s="169"/>
      <c r="H131" s="63"/>
      <c r="I131" s="63"/>
      <c r="L131" s="63"/>
      <c r="M131" s="63"/>
      <c r="N131" s="63"/>
      <c r="O131" s="63"/>
      <c r="P131" s="63"/>
    </row>
    <row r="132" spans="4:16" x14ac:dyDescent="0.3">
      <c r="D132" s="63"/>
      <c r="E132" s="63"/>
      <c r="F132" s="63"/>
      <c r="G132" s="169"/>
      <c r="H132" s="63"/>
      <c r="I132" s="63"/>
      <c r="L132" s="63"/>
      <c r="M132" s="63"/>
      <c r="N132" s="63"/>
      <c r="O132" s="63"/>
      <c r="P132" s="63"/>
    </row>
    <row r="133" spans="4:16" x14ac:dyDescent="0.3">
      <c r="D133" s="63"/>
      <c r="E133" s="63"/>
      <c r="F133" s="63"/>
      <c r="G133" s="169"/>
      <c r="H133" s="63"/>
      <c r="I133" s="63"/>
      <c r="L133" s="63"/>
      <c r="M133" s="63"/>
      <c r="N133" s="63"/>
      <c r="O133" s="63"/>
      <c r="P133" s="63"/>
    </row>
    <row r="134" spans="4:16" x14ac:dyDescent="0.3">
      <c r="D134" s="63"/>
      <c r="E134" s="63"/>
      <c r="F134" s="63"/>
      <c r="G134" s="169"/>
      <c r="H134" s="63"/>
      <c r="I134" s="63"/>
      <c r="L134" s="63"/>
      <c r="M134" s="63"/>
      <c r="N134" s="63"/>
      <c r="O134" s="63"/>
      <c r="P134" s="63"/>
    </row>
    <row r="135" spans="4:16" x14ac:dyDescent="0.3">
      <c r="D135" s="63"/>
      <c r="E135" s="63"/>
      <c r="F135" s="63"/>
      <c r="G135" s="169"/>
      <c r="H135" s="63"/>
      <c r="I135" s="63"/>
      <c r="L135" s="63"/>
      <c r="M135" s="63"/>
      <c r="N135" s="63"/>
      <c r="O135" s="63"/>
      <c r="P135" s="63"/>
    </row>
    <row r="136" spans="4:16" x14ac:dyDescent="0.3">
      <c r="D136" s="63"/>
      <c r="E136" s="63"/>
      <c r="F136" s="63"/>
      <c r="G136" s="169"/>
      <c r="H136" s="63"/>
      <c r="I136" s="63"/>
      <c r="L136" s="63"/>
      <c r="M136" s="63"/>
      <c r="N136" s="63"/>
      <c r="O136" s="63"/>
      <c r="P136" s="63"/>
    </row>
    <row r="137" spans="4:16" x14ac:dyDescent="0.3">
      <c r="D137" s="63"/>
      <c r="E137" s="63"/>
      <c r="F137" s="63"/>
      <c r="G137" s="169"/>
      <c r="H137" s="63"/>
      <c r="I137" s="63"/>
      <c r="L137" s="63"/>
      <c r="M137" s="63"/>
      <c r="N137" s="63"/>
      <c r="O137" s="63"/>
      <c r="P137" s="63"/>
    </row>
    <row r="138" spans="4:16" x14ac:dyDescent="0.3">
      <c r="D138" s="63"/>
      <c r="E138" s="63"/>
      <c r="F138" s="63"/>
      <c r="G138" s="169"/>
      <c r="H138" s="63"/>
      <c r="I138" s="63"/>
      <c r="L138" s="63"/>
      <c r="M138" s="63"/>
      <c r="N138" s="63"/>
      <c r="O138" s="63"/>
      <c r="P138" s="63"/>
    </row>
    <row r="139" spans="4:16" x14ac:dyDescent="0.3">
      <c r="D139" s="63"/>
      <c r="E139" s="63"/>
      <c r="F139" s="63"/>
      <c r="G139" s="169"/>
      <c r="H139" s="63"/>
      <c r="I139" s="63"/>
      <c r="L139" s="63"/>
      <c r="M139" s="63"/>
      <c r="N139" s="63"/>
      <c r="O139" s="63"/>
      <c r="P139" s="63"/>
    </row>
    <row r="140" spans="4:16" x14ac:dyDescent="0.3">
      <c r="D140" s="63"/>
      <c r="E140" s="63"/>
      <c r="F140" s="63"/>
      <c r="G140" s="169"/>
      <c r="H140" s="63"/>
      <c r="I140" s="63"/>
      <c r="L140" s="63"/>
      <c r="M140" s="63"/>
      <c r="N140" s="63"/>
      <c r="O140" s="63"/>
      <c r="P140" s="63"/>
    </row>
    <row r="141" spans="4:16" x14ac:dyDescent="0.3">
      <c r="D141" s="63"/>
      <c r="E141" s="63"/>
      <c r="F141" s="63"/>
      <c r="G141" s="169"/>
      <c r="H141" s="63"/>
      <c r="I141" s="63"/>
      <c r="L141" s="63"/>
      <c r="M141" s="63"/>
      <c r="N141" s="63"/>
      <c r="O141" s="63"/>
      <c r="P141" s="63"/>
    </row>
    <row r="142" spans="4:16" x14ac:dyDescent="0.3">
      <c r="D142" s="63"/>
      <c r="E142" s="63"/>
      <c r="F142" s="63"/>
      <c r="G142" s="169"/>
      <c r="H142" s="63"/>
      <c r="I142" s="63"/>
      <c r="L142" s="63"/>
      <c r="M142" s="63"/>
      <c r="N142" s="63"/>
      <c r="O142" s="63"/>
      <c r="P142" s="63"/>
    </row>
    <row r="143" spans="4:16" x14ac:dyDescent="0.3">
      <c r="D143" s="63"/>
      <c r="E143" s="63"/>
      <c r="F143" s="63"/>
      <c r="G143" s="169"/>
      <c r="H143" s="63"/>
      <c r="I143" s="63"/>
      <c r="L143" s="63"/>
      <c r="M143" s="63"/>
      <c r="N143" s="63"/>
      <c r="O143" s="63"/>
      <c r="P143" s="63"/>
    </row>
    <row r="144" spans="4:16" x14ac:dyDescent="0.3">
      <c r="D144" s="63"/>
      <c r="E144" s="63"/>
      <c r="F144" s="63"/>
      <c r="G144" s="169"/>
      <c r="H144" s="63"/>
      <c r="I144" s="63"/>
      <c r="L144" s="63"/>
      <c r="M144" s="63"/>
      <c r="N144" s="63"/>
      <c r="O144" s="63"/>
      <c r="P144" s="63"/>
    </row>
    <row r="145" spans="4:16" x14ac:dyDescent="0.3">
      <c r="D145" s="63"/>
      <c r="E145" s="63"/>
      <c r="F145" s="63"/>
      <c r="G145" s="169"/>
      <c r="H145" s="63"/>
      <c r="I145" s="63"/>
      <c r="L145" s="63"/>
      <c r="M145" s="63"/>
      <c r="N145" s="63"/>
      <c r="O145" s="63"/>
      <c r="P145" s="63"/>
    </row>
    <row r="146" spans="4:16" x14ac:dyDescent="0.3">
      <c r="D146" s="63"/>
      <c r="E146" s="63"/>
      <c r="F146" s="63"/>
      <c r="G146" s="169"/>
      <c r="H146" s="63"/>
      <c r="I146" s="63"/>
      <c r="L146" s="63"/>
      <c r="M146" s="63"/>
      <c r="N146" s="63"/>
      <c r="O146" s="63"/>
      <c r="P146" s="63"/>
    </row>
    <row r="147" spans="4:16" x14ac:dyDescent="0.3">
      <c r="D147" s="63"/>
      <c r="E147" s="63"/>
      <c r="F147" s="63"/>
      <c r="G147" s="169"/>
      <c r="H147" s="63"/>
      <c r="I147" s="63"/>
      <c r="L147" s="63"/>
      <c r="M147" s="63"/>
      <c r="N147" s="63"/>
      <c r="O147" s="63"/>
      <c r="P147" s="63"/>
    </row>
    <row r="148" spans="4:16" x14ac:dyDescent="0.3">
      <c r="D148" s="63"/>
      <c r="E148" s="63"/>
      <c r="F148" s="63"/>
      <c r="G148" s="169"/>
      <c r="H148" s="63"/>
      <c r="I148" s="63"/>
      <c r="L148" s="63"/>
      <c r="M148" s="63"/>
      <c r="N148" s="63"/>
      <c r="O148" s="63"/>
      <c r="P148" s="63"/>
    </row>
    <row r="149" spans="4:16" x14ac:dyDescent="0.3">
      <c r="D149" s="63"/>
      <c r="E149" s="63"/>
      <c r="F149" s="63"/>
      <c r="G149" s="169"/>
      <c r="H149" s="63"/>
      <c r="I149" s="63"/>
      <c r="L149" s="63"/>
      <c r="M149" s="63"/>
      <c r="N149" s="63"/>
      <c r="O149" s="63"/>
      <c r="P149" s="63"/>
    </row>
    <row r="150" spans="4:16" x14ac:dyDescent="0.3">
      <c r="D150" s="63"/>
      <c r="E150" s="63"/>
      <c r="F150" s="63"/>
      <c r="G150" s="169"/>
      <c r="H150" s="63"/>
      <c r="I150" s="63"/>
      <c r="L150" s="63"/>
      <c r="M150" s="63"/>
      <c r="N150" s="63"/>
      <c r="O150" s="63"/>
      <c r="P150" s="63"/>
    </row>
    <row r="151" spans="4:16" x14ac:dyDescent="0.3">
      <c r="D151" s="63"/>
      <c r="E151" s="63"/>
      <c r="F151" s="63"/>
      <c r="G151" s="169"/>
      <c r="H151" s="63"/>
      <c r="I151" s="63"/>
      <c r="L151" s="63"/>
      <c r="M151" s="63"/>
      <c r="N151" s="63"/>
      <c r="O151" s="63"/>
      <c r="P151" s="63"/>
    </row>
    <row r="152" spans="4:16" x14ac:dyDescent="0.3">
      <c r="D152" s="63"/>
      <c r="E152" s="63"/>
      <c r="F152" s="63"/>
      <c r="G152" s="169"/>
      <c r="H152" s="63"/>
      <c r="I152" s="63"/>
      <c r="L152" s="63"/>
      <c r="M152" s="63"/>
      <c r="N152" s="63"/>
      <c r="O152" s="63"/>
      <c r="P152" s="63"/>
    </row>
    <row r="153" spans="4:16" x14ac:dyDescent="0.3">
      <c r="D153" s="63"/>
      <c r="E153" s="63"/>
      <c r="F153" s="63"/>
      <c r="G153" s="169"/>
      <c r="H153" s="63"/>
      <c r="I153" s="63"/>
      <c r="L153" s="63"/>
      <c r="M153" s="63"/>
      <c r="N153" s="63"/>
      <c r="O153" s="63"/>
      <c r="P153" s="63"/>
    </row>
    <row r="154" spans="4:16" x14ac:dyDescent="0.3">
      <c r="D154" s="63"/>
      <c r="E154" s="63"/>
      <c r="F154" s="63"/>
      <c r="G154" s="169"/>
      <c r="H154" s="63"/>
      <c r="I154" s="63"/>
      <c r="L154" s="63"/>
      <c r="M154" s="63"/>
      <c r="N154" s="63"/>
      <c r="O154" s="63"/>
      <c r="P154" s="63"/>
    </row>
    <row r="155" spans="4:16" x14ac:dyDescent="0.3">
      <c r="D155" s="63"/>
      <c r="E155" s="63"/>
      <c r="F155" s="63"/>
      <c r="G155" s="169"/>
      <c r="H155" s="63"/>
      <c r="I155" s="63"/>
      <c r="L155" s="63"/>
      <c r="M155" s="63"/>
      <c r="N155" s="63"/>
      <c r="O155" s="63"/>
      <c r="P155" s="63"/>
    </row>
    <row r="156" spans="4:16" x14ac:dyDescent="0.3">
      <c r="D156" s="63"/>
      <c r="E156" s="63"/>
      <c r="F156" s="63"/>
      <c r="G156" s="169"/>
      <c r="H156" s="63"/>
      <c r="I156" s="63"/>
      <c r="L156" s="63"/>
      <c r="M156" s="63"/>
      <c r="N156" s="63"/>
      <c r="O156" s="63"/>
      <c r="P156" s="63"/>
    </row>
    <row r="157" spans="4:16" x14ac:dyDescent="0.3">
      <c r="D157" s="63"/>
      <c r="E157" s="63"/>
      <c r="F157" s="63"/>
      <c r="G157" s="169"/>
      <c r="H157" s="63"/>
      <c r="I157" s="63"/>
      <c r="L157" s="63"/>
      <c r="M157" s="63"/>
      <c r="N157" s="63"/>
      <c r="O157" s="63"/>
      <c r="P157" s="63"/>
    </row>
    <row r="158" spans="4:16" x14ac:dyDescent="0.3">
      <c r="D158" s="63"/>
      <c r="E158" s="63"/>
      <c r="F158" s="63"/>
      <c r="G158" s="169"/>
      <c r="H158" s="63"/>
      <c r="I158" s="63"/>
      <c r="L158" s="63"/>
      <c r="M158" s="63"/>
      <c r="N158" s="63"/>
      <c r="O158" s="63"/>
      <c r="P158" s="63"/>
    </row>
    <row r="159" spans="4:16" x14ac:dyDescent="0.3">
      <c r="D159" s="63"/>
      <c r="E159" s="63"/>
      <c r="F159" s="63"/>
      <c r="G159" s="169"/>
      <c r="H159" s="63"/>
      <c r="I159" s="63"/>
      <c r="L159" s="63"/>
      <c r="M159" s="63"/>
      <c r="N159" s="63"/>
      <c r="O159" s="63"/>
      <c r="P159" s="63"/>
    </row>
    <row r="160" spans="4:16" x14ac:dyDescent="0.3">
      <c r="D160" s="63"/>
      <c r="E160" s="63"/>
      <c r="F160" s="63"/>
      <c r="G160" s="169"/>
      <c r="H160" s="63"/>
      <c r="I160" s="63"/>
      <c r="L160" s="63"/>
      <c r="M160" s="63"/>
      <c r="N160" s="63"/>
      <c r="O160" s="63"/>
      <c r="P160" s="63"/>
    </row>
    <row r="161" spans="4:16" x14ac:dyDescent="0.3">
      <c r="D161" s="63"/>
      <c r="E161" s="63"/>
      <c r="F161" s="63"/>
      <c r="G161" s="169"/>
      <c r="H161" s="63"/>
      <c r="I161" s="63"/>
      <c r="L161" s="63"/>
      <c r="M161" s="63"/>
      <c r="N161" s="63"/>
      <c r="O161" s="63"/>
      <c r="P161" s="63"/>
    </row>
    <row r="162" spans="4:16" x14ac:dyDescent="0.3">
      <c r="D162" s="63"/>
      <c r="E162" s="63"/>
      <c r="F162" s="63"/>
      <c r="G162" s="169"/>
      <c r="H162" s="63"/>
      <c r="I162" s="63"/>
      <c r="L162" s="63"/>
      <c r="M162" s="63"/>
      <c r="N162" s="63"/>
      <c r="O162" s="63"/>
      <c r="P162" s="63"/>
    </row>
    <row r="163" spans="4:16" x14ac:dyDescent="0.3">
      <c r="D163" s="63"/>
      <c r="E163" s="63"/>
      <c r="F163" s="63"/>
      <c r="G163" s="169"/>
      <c r="H163" s="63"/>
      <c r="I163" s="63"/>
      <c r="L163" s="63"/>
      <c r="M163" s="63"/>
      <c r="N163" s="63"/>
      <c r="O163" s="63"/>
      <c r="P163" s="63"/>
    </row>
    <row r="164" spans="4:16" x14ac:dyDescent="0.3">
      <c r="D164" s="63"/>
      <c r="E164" s="63"/>
      <c r="F164" s="63"/>
      <c r="G164" s="169"/>
      <c r="H164" s="63"/>
      <c r="I164" s="63"/>
      <c r="L164" s="63"/>
      <c r="M164" s="63"/>
      <c r="N164" s="63"/>
      <c r="O164" s="63"/>
      <c r="P164" s="63"/>
    </row>
    <row r="165" spans="4:16" x14ac:dyDescent="0.3">
      <c r="D165" s="63"/>
      <c r="E165" s="63"/>
      <c r="F165" s="63"/>
      <c r="G165" s="169"/>
      <c r="H165" s="63"/>
      <c r="I165" s="63"/>
      <c r="L165" s="63"/>
      <c r="M165" s="63"/>
      <c r="N165" s="63"/>
      <c r="O165" s="63"/>
      <c r="P165" s="63"/>
    </row>
    <row r="166" spans="4:16" x14ac:dyDescent="0.3">
      <c r="D166" s="63"/>
      <c r="E166" s="63"/>
      <c r="F166" s="63"/>
      <c r="G166" s="169"/>
      <c r="H166" s="63"/>
      <c r="I166" s="63"/>
      <c r="L166" s="63"/>
      <c r="M166" s="63"/>
      <c r="N166" s="63"/>
      <c r="O166" s="63"/>
      <c r="P166" s="63"/>
    </row>
    <row r="167" spans="4:16" x14ac:dyDescent="0.3">
      <c r="D167" s="63"/>
      <c r="E167" s="63"/>
      <c r="F167" s="63"/>
      <c r="G167" s="169"/>
      <c r="H167" s="63"/>
      <c r="I167" s="63"/>
      <c r="L167" s="63"/>
      <c r="M167" s="63"/>
      <c r="N167" s="63"/>
      <c r="O167" s="63"/>
      <c r="P167" s="63"/>
    </row>
    <row r="168" spans="4:16" x14ac:dyDescent="0.3">
      <c r="D168" s="63"/>
      <c r="E168" s="63"/>
      <c r="F168" s="63"/>
      <c r="G168" s="169"/>
      <c r="H168" s="63"/>
      <c r="I168" s="63"/>
      <c r="L168" s="63"/>
      <c r="M168" s="63"/>
      <c r="N168" s="63"/>
      <c r="O168" s="63"/>
      <c r="P168" s="63"/>
    </row>
    <row r="169" spans="4:16" x14ac:dyDescent="0.3">
      <c r="D169" s="63"/>
      <c r="E169" s="63"/>
      <c r="F169" s="63"/>
      <c r="G169" s="169"/>
      <c r="H169" s="63"/>
      <c r="I169" s="63"/>
      <c r="L169" s="63"/>
      <c r="M169" s="63"/>
      <c r="N169" s="63"/>
      <c r="O169" s="63"/>
      <c r="P169" s="63"/>
    </row>
    <row r="170" spans="4:16" x14ac:dyDescent="0.3">
      <c r="D170" s="63"/>
      <c r="E170" s="63"/>
      <c r="F170" s="63"/>
      <c r="G170" s="169"/>
      <c r="H170" s="63"/>
      <c r="I170" s="63"/>
      <c r="L170" s="63"/>
      <c r="M170" s="63"/>
      <c r="N170" s="63"/>
      <c r="O170" s="63"/>
      <c r="P170" s="63"/>
    </row>
    <row r="171" spans="4:16" x14ac:dyDescent="0.3">
      <c r="D171" s="63"/>
      <c r="E171" s="63"/>
      <c r="F171" s="63"/>
      <c r="G171" s="169"/>
      <c r="H171" s="63"/>
      <c r="I171" s="63"/>
      <c r="L171" s="63"/>
      <c r="M171" s="63"/>
      <c r="N171" s="63"/>
      <c r="O171" s="63"/>
      <c r="P171" s="63"/>
    </row>
    <row r="172" spans="4:16" x14ac:dyDescent="0.3">
      <c r="D172" s="63"/>
      <c r="E172" s="63"/>
      <c r="F172" s="63"/>
      <c r="G172" s="169"/>
      <c r="H172" s="63"/>
      <c r="I172" s="63"/>
      <c r="L172" s="63"/>
      <c r="M172" s="63"/>
      <c r="N172" s="63"/>
      <c r="O172" s="63"/>
      <c r="P172" s="63"/>
    </row>
    <row r="173" spans="4:16" x14ac:dyDescent="0.3">
      <c r="D173" s="63"/>
      <c r="E173" s="63"/>
      <c r="F173" s="63"/>
      <c r="G173" s="169"/>
      <c r="H173" s="63"/>
      <c r="I173" s="63"/>
      <c r="L173" s="63"/>
      <c r="M173" s="63"/>
      <c r="N173" s="63"/>
      <c r="O173" s="63"/>
      <c r="P173" s="63"/>
    </row>
    <row r="174" spans="4:16" x14ac:dyDescent="0.3">
      <c r="D174" s="63"/>
      <c r="E174" s="63"/>
      <c r="F174" s="63"/>
      <c r="G174" s="169"/>
      <c r="H174" s="63"/>
      <c r="I174" s="63"/>
      <c r="L174" s="63"/>
      <c r="M174" s="63"/>
      <c r="N174" s="63"/>
      <c r="O174" s="63"/>
      <c r="P174" s="63"/>
    </row>
    <row r="175" spans="4:16" x14ac:dyDescent="0.3">
      <c r="D175" s="63"/>
      <c r="E175" s="63"/>
      <c r="F175" s="63"/>
      <c r="G175" s="169"/>
      <c r="H175" s="63"/>
      <c r="I175" s="63"/>
      <c r="L175" s="63"/>
      <c r="M175" s="63"/>
      <c r="N175" s="63"/>
      <c r="O175" s="63"/>
      <c r="P175" s="63"/>
    </row>
    <row r="176" spans="4:16" x14ac:dyDescent="0.3">
      <c r="D176" s="63"/>
      <c r="E176" s="63"/>
      <c r="F176" s="63"/>
      <c r="G176" s="169"/>
      <c r="H176" s="63"/>
      <c r="I176" s="63"/>
      <c r="L176" s="63"/>
      <c r="M176" s="63"/>
      <c r="N176" s="63"/>
      <c r="O176" s="63"/>
      <c r="P176" s="63"/>
    </row>
    <row r="177" spans="4:16" x14ac:dyDescent="0.3">
      <c r="D177" s="63"/>
      <c r="E177" s="63"/>
      <c r="F177" s="63"/>
      <c r="G177" s="169"/>
      <c r="H177" s="63"/>
      <c r="I177" s="63"/>
      <c r="L177" s="63"/>
      <c r="M177" s="63"/>
      <c r="N177" s="63"/>
      <c r="O177" s="63"/>
      <c r="P177" s="63"/>
    </row>
    <row r="178" spans="4:16" x14ac:dyDescent="0.3">
      <c r="D178" s="63"/>
      <c r="E178" s="63"/>
      <c r="F178" s="63"/>
      <c r="G178" s="169"/>
      <c r="H178" s="63"/>
      <c r="I178" s="63"/>
      <c r="L178" s="63"/>
      <c r="M178" s="63"/>
      <c r="N178" s="63"/>
      <c r="O178" s="63"/>
      <c r="P178" s="63"/>
    </row>
    <row r="179" spans="4:16" x14ac:dyDescent="0.3">
      <c r="D179" s="63"/>
      <c r="E179" s="63"/>
      <c r="F179" s="63"/>
      <c r="G179" s="169"/>
      <c r="H179" s="63"/>
      <c r="I179" s="63"/>
      <c r="L179" s="63"/>
      <c r="M179" s="63"/>
      <c r="N179" s="63"/>
      <c r="O179" s="63"/>
      <c r="P179" s="63"/>
    </row>
    <row r="180" spans="4:16" x14ac:dyDescent="0.3">
      <c r="D180" s="63"/>
      <c r="E180" s="63"/>
      <c r="F180" s="63"/>
      <c r="G180" s="169"/>
      <c r="H180" s="63"/>
      <c r="I180" s="63"/>
      <c r="L180" s="63"/>
      <c r="M180" s="63"/>
      <c r="N180" s="63"/>
      <c r="O180" s="63"/>
      <c r="P180" s="63"/>
    </row>
    <row r="181" spans="4:16" x14ac:dyDescent="0.3">
      <c r="D181" s="63"/>
      <c r="E181" s="63"/>
      <c r="F181" s="63"/>
      <c r="G181" s="169"/>
      <c r="H181" s="63"/>
      <c r="I181" s="63"/>
      <c r="L181" s="63"/>
      <c r="M181" s="63"/>
      <c r="N181" s="63"/>
      <c r="O181" s="63"/>
      <c r="P181" s="63"/>
    </row>
    <row r="182" spans="4:16" x14ac:dyDescent="0.3">
      <c r="D182" s="63"/>
      <c r="E182" s="63"/>
      <c r="F182" s="63"/>
      <c r="G182" s="169"/>
      <c r="H182" s="63"/>
      <c r="I182" s="63"/>
      <c r="L182" s="63"/>
      <c r="M182" s="63"/>
      <c r="N182" s="63"/>
      <c r="O182" s="63"/>
      <c r="P182" s="63"/>
    </row>
    <row r="183" spans="4:16" x14ac:dyDescent="0.3">
      <c r="D183" s="63"/>
      <c r="E183" s="63"/>
      <c r="F183" s="63"/>
      <c r="G183" s="169"/>
      <c r="H183" s="63"/>
      <c r="I183" s="63"/>
      <c r="L183" s="63"/>
      <c r="M183" s="63"/>
      <c r="N183" s="63"/>
      <c r="O183" s="63"/>
      <c r="P183" s="63"/>
    </row>
    <row r="184" spans="4:16" x14ac:dyDescent="0.3">
      <c r="D184" s="63"/>
      <c r="E184" s="63"/>
      <c r="F184" s="63"/>
      <c r="G184" s="169"/>
      <c r="H184" s="63"/>
      <c r="I184" s="63"/>
      <c r="L184" s="63"/>
      <c r="M184" s="63"/>
      <c r="N184" s="63"/>
      <c r="O184" s="63"/>
      <c r="P184" s="63"/>
    </row>
    <row r="185" spans="4:16" x14ac:dyDescent="0.3">
      <c r="D185" s="63"/>
      <c r="E185" s="63"/>
      <c r="F185" s="63"/>
      <c r="G185" s="169"/>
      <c r="H185" s="63"/>
      <c r="I185" s="63"/>
      <c r="L185" s="63"/>
      <c r="M185" s="63"/>
      <c r="N185" s="63"/>
      <c r="O185" s="63"/>
      <c r="P185" s="63"/>
    </row>
    <row r="186" spans="4:16" x14ac:dyDescent="0.3">
      <c r="D186" s="63"/>
      <c r="E186" s="63"/>
      <c r="F186" s="63"/>
      <c r="G186" s="169"/>
      <c r="H186" s="63"/>
      <c r="I186" s="63"/>
      <c r="L186" s="63"/>
      <c r="M186" s="63"/>
      <c r="N186" s="63"/>
      <c r="O186" s="63"/>
      <c r="P186" s="63"/>
    </row>
    <row r="187" spans="4:16" x14ac:dyDescent="0.3">
      <c r="D187" s="63"/>
      <c r="E187" s="63"/>
      <c r="F187" s="63"/>
      <c r="G187" s="169"/>
      <c r="H187" s="63"/>
      <c r="I187" s="63"/>
      <c r="L187" s="63"/>
      <c r="M187" s="63"/>
      <c r="N187" s="63"/>
      <c r="O187" s="63"/>
      <c r="P187" s="63"/>
    </row>
    <row r="188" spans="4:16" x14ac:dyDescent="0.3">
      <c r="D188" s="63"/>
      <c r="E188" s="63"/>
      <c r="F188" s="63"/>
      <c r="G188" s="169"/>
      <c r="H188" s="63"/>
      <c r="I188" s="63"/>
      <c r="L188" s="63"/>
      <c r="M188" s="63"/>
      <c r="N188" s="63"/>
      <c r="O188" s="63"/>
      <c r="P188" s="63"/>
    </row>
    <row r="189" spans="4:16" x14ac:dyDescent="0.3">
      <c r="D189" s="63"/>
      <c r="E189" s="63"/>
      <c r="F189" s="63"/>
      <c r="G189" s="169"/>
      <c r="H189" s="63"/>
      <c r="I189" s="63"/>
      <c r="L189" s="63"/>
      <c r="M189" s="63"/>
      <c r="N189" s="63"/>
      <c r="O189" s="63"/>
      <c r="P189" s="63"/>
    </row>
    <row r="190" spans="4:16" x14ac:dyDescent="0.3">
      <c r="D190" s="63"/>
      <c r="E190" s="63"/>
      <c r="F190" s="63"/>
      <c r="G190" s="169"/>
      <c r="H190" s="63"/>
      <c r="I190" s="63"/>
      <c r="L190" s="63"/>
      <c r="M190" s="63"/>
      <c r="N190" s="63"/>
      <c r="O190" s="63"/>
      <c r="P190" s="63"/>
    </row>
    <row r="191" spans="4:16" x14ac:dyDescent="0.3">
      <c r="D191" s="63"/>
      <c r="E191" s="63"/>
      <c r="F191" s="63"/>
      <c r="G191" s="169"/>
      <c r="H191" s="63"/>
      <c r="I191" s="63"/>
      <c r="L191" s="63"/>
      <c r="M191" s="63"/>
      <c r="N191" s="63"/>
      <c r="O191" s="63"/>
      <c r="P191" s="63"/>
    </row>
    <row r="192" spans="4:16" x14ac:dyDescent="0.3">
      <c r="D192" s="63"/>
      <c r="E192" s="63"/>
      <c r="F192" s="63"/>
      <c r="G192" s="169"/>
      <c r="H192" s="63"/>
      <c r="I192" s="63"/>
      <c r="L192" s="63"/>
      <c r="M192" s="63"/>
      <c r="N192" s="63"/>
      <c r="O192" s="63"/>
      <c r="P192" s="63"/>
    </row>
    <row r="193" spans="4:16" x14ac:dyDescent="0.3">
      <c r="D193" s="63"/>
      <c r="E193" s="63"/>
      <c r="F193" s="63"/>
      <c r="G193" s="169"/>
      <c r="H193" s="63"/>
      <c r="I193" s="63"/>
      <c r="L193" s="63"/>
      <c r="M193" s="63"/>
      <c r="N193" s="63"/>
      <c r="O193" s="63"/>
      <c r="P193" s="63"/>
    </row>
    <row r="194" spans="4:16" x14ac:dyDescent="0.3">
      <c r="D194" s="63"/>
      <c r="E194" s="63"/>
      <c r="F194" s="63"/>
      <c r="G194" s="169"/>
      <c r="H194" s="63"/>
      <c r="I194" s="63"/>
      <c r="L194" s="63"/>
      <c r="M194" s="63"/>
      <c r="N194" s="63"/>
      <c r="O194" s="63"/>
      <c r="P194" s="63"/>
    </row>
    <row r="195" spans="4:16" x14ac:dyDescent="0.3">
      <c r="D195" s="63"/>
      <c r="E195" s="63"/>
      <c r="F195" s="63"/>
      <c r="G195" s="169"/>
      <c r="H195" s="63"/>
      <c r="I195" s="63"/>
      <c r="L195" s="63"/>
      <c r="M195" s="63"/>
      <c r="N195" s="63"/>
      <c r="O195" s="63"/>
      <c r="P195" s="63"/>
    </row>
    <row r="196" spans="4:16" x14ac:dyDescent="0.3">
      <c r="D196" s="63"/>
      <c r="E196" s="63"/>
      <c r="F196" s="63"/>
      <c r="G196" s="169"/>
      <c r="H196" s="63"/>
      <c r="I196" s="63"/>
      <c r="L196" s="63"/>
      <c r="M196" s="63"/>
      <c r="N196" s="63"/>
      <c r="O196" s="63"/>
      <c r="P196" s="63"/>
    </row>
    <row r="197" spans="4:16" x14ac:dyDescent="0.3">
      <c r="D197" s="63"/>
      <c r="E197" s="63"/>
      <c r="F197" s="63"/>
      <c r="G197" s="169"/>
      <c r="H197" s="63"/>
      <c r="I197" s="63"/>
      <c r="L197" s="63"/>
      <c r="M197" s="63"/>
      <c r="N197" s="63"/>
      <c r="O197" s="63"/>
      <c r="P197" s="63"/>
    </row>
    <row r="198" spans="4:16" x14ac:dyDescent="0.3">
      <c r="D198" s="63"/>
      <c r="E198" s="63"/>
      <c r="F198" s="63"/>
      <c r="G198" s="169"/>
      <c r="H198" s="63"/>
      <c r="I198" s="63"/>
      <c r="L198" s="63"/>
      <c r="M198" s="63"/>
      <c r="N198" s="63"/>
      <c r="O198" s="63"/>
      <c r="P198" s="63"/>
    </row>
    <row r="199" spans="4:16" x14ac:dyDescent="0.3">
      <c r="D199" s="63"/>
      <c r="E199" s="63"/>
      <c r="F199" s="63"/>
      <c r="G199" s="169"/>
      <c r="H199" s="63"/>
      <c r="I199" s="63"/>
      <c r="L199" s="63"/>
      <c r="M199" s="63"/>
      <c r="N199" s="63"/>
      <c r="O199" s="63"/>
      <c r="P199" s="63"/>
    </row>
    <row r="200" spans="4:16" x14ac:dyDescent="0.3">
      <c r="D200" s="63"/>
      <c r="E200" s="63"/>
      <c r="F200" s="63"/>
      <c r="G200" s="169"/>
      <c r="H200" s="63"/>
      <c r="I200" s="63"/>
      <c r="L200" s="63"/>
      <c r="M200" s="63"/>
      <c r="N200" s="63"/>
      <c r="O200" s="63"/>
      <c r="P200" s="63"/>
    </row>
    <row r="201" spans="4:16" x14ac:dyDescent="0.3">
      <c r="D201" s="63"/>
      <c r="E201" s="63"/>
      <c r="F201" s="63"/>
      <c r="G201" s="169"/>
      <c r="H201" s="63"/>
      <c r="I201" s="63"/>
      <c r="L201" s="63"/>
      <c r="M201" s="63"/>
      <c r="N201" s="63"/>
      <c r="O201" s="63"/>
      <c r="P201" s="63"/>
    </row>
    <row r="202" spans="4:16" x14ac:dyDescent="0.3">
      <c r="D202" s="63"/>
      <c r="E202" s="63"/>
      <c r="F202" s="63"/>
      <c r="G202" s="169"/>
      <c r="H202" s="63"/>
      <c r="I202" s="63"/>
      <c r="L202" s="63"/>
      <c r="M202" s="63"/>
      <c r="N202" s="63"/>
      <c r="O202" s="63"/>
      <c r="P202" s="63"/>
    </row>
    <row r="203" spans="4:16" x14ac:dyDescent="0.3">
      <c r="D203" s="63"/>
      <c r="E203" s="63"/>
      <c r="F203" s="63"/>
      <c r="G203" s="169"/>
      <c r="H203" s="63"/>
      <c r="I203" s="63"/>
      <c r="L203" s="63"/>
      <c r="M203" s="63"/>
      <c r="N203" s="63"/>
      <c r="O203" s="63"/>
      <c r="P203" s="63"/>
    </row>
    <row r="204" spans="4:16" x14ac:dyDescent="0.3">
      <c r="D204" s="63"/>
      <c r="E204" s="63"/>
      <c r="F204" s="63"/>
      <c r="G204" s="169"/>
      <c r="H204" s="63"/>
      <c r="I204" s="63"/>
      <c r="L204" s="63"/>
      <c r="M204" s="63"/>
      <c r="N204" s="63"/>
      <c r="O204" s="63"/>
      <c r="P204" s="63"/>
    </row>
    <row r="205" spans="4:16" x14ac:dyDescent="0.3">
      <c r="D205" s="63"/>
      <c r="E205" s="63"/>
      <c r="F205" s="63"/>
      <c r="G205" s="169"/>
      <c r="H205" s="63"/>
      <c r="I205" s="63"/>
      <c r="L205" s="63"/>
      <c r="M205" s="63"/>
      <c r="N205" s="63"/>
      <c r="O205" s="63"/>
      <c r="P205" s="63"/>
    </row>
    <row r="206" spans="4:16" x14ac:dyDescent="0.3">
      <c r="D206" s="63"/>
      <c r="E206" s="63"/>
      <c r="F206" s="63"/>
      <c r="G206" s="169"/>
      <c r="H206" s="63"/>
      <c r="I206" s="63"/>
      <c r="L206" s="63"/>
      <c r="M206" s="63"/>
      <c r="N206" s="63"/>
      <c r="O206" s="63"/>
      <c r="P206" s="63"/>
    </row>
    <row r="207" spans="4:16" x14ac:dyDescent="0.3">
      <c r="D207" s="63"/>
      <c r="E207" s="63"/>
      <c r="F207" s="63"/>
      <c r="G207" s="169"/>
      <c r="H207" s="63"/>
      <c r="I207" s="63"/>
      <c r="L207" s="63"/>
      <c r="M207" s="63"/>
      <c r="N207" s="63"/>
      <c r="O207" s="63"/>
      <c r="P207" s="63"/>
    </row>
    <row r="208" spans="4:16" x14ac:dyDescent="0.3">
      <c r="D208" s="63"/>
      <c r="E208" s="63"/>
      <c r="F208" s="63"/>
      <c r="G208" s="169"/>
      <c r="H208" s="63"/>
      <c r="I208" s="63"/>
      <c r="L208" s="63"/>
      <c r="M208" s="63"/>
      <c r="N208" s="63"/>
      <c r="O208" s="63"/>
      <c r="P208" s="63"/>
    </row>
    <row r="209" spans="4:16" x14ac:dyDescent="0.3">
      <c r="D209" s="63"/>
      <c r="E209" s="63"/>
      <c r="F209" s="63"/>
      <c r="G209" s="169"/>
      <c r="H209" s="63"/>
      <c r="I209" s="63"/>
      <c r="L209" s="63"/>
      <c r="M209" s="63"/>
      <c r="N209" s="63"/>
      <c r="O209" s="63"/>
      <c r="P209" s="63"/>
    </row>
    <row r="210" spans="4:16" x14ac:dyDescent="0.3">
      <c r="D210" s="63"/>
      <c r="E210" s="63"/>
      <c r="F210" s="63"/>
      <c r="G210" s="169"/>
      <c r="H210" s="63"/>
      <c r="I210" s="63"/>
      <c r="L210" s="63"/>
      <c r="M210" s="63"/>
      <c r="N210" s="63"/>
      <c r="O210" s="63"/>
      <c r="P210" s="63"/>
    </row>
    <row r="211" spans="4:16" x14ac:dyDescent="0.3">
      <c r="D211" s="63"/>
      <c r="E211" s="63"/>
      <c r="F211" s="63"/>
      <c r="G211" s="169"/>
      <c r="H211" s="63"/>
      <c r="I211" s="63"/>
      <c r="L211" s="63"/>
      <c r="M211" s="63"/>
      <c r="N211" s="63"/>
      <c r="O211" s="63"/>
      <c r="P211" s="63"/>
    </row>
    <row r="212" spans="4:16" x14ac:dyDescent="0.3">
      <c r="D212" s="63"/>
      <c r="E212" s="63"/>
      <c r="F212" s="63"/>
      <c r="G212" s="169"/>
      <c r="H212" s="63"/>
      <c r="I212" s="63"/>
      <c r="L212" s="63"/>
      <c r="M212" s="63"/>
      <c r="N212" s="63"/>
      <c r="O212" s="63"/>
      <c r="P212" s="63"/>
    </row>
    <row r="213" spans="4:16" x14ac:dyDescent="0.3">
      <c r="D213" s="63"/>
      <c r="E213" s="63"/>
      <c r="F213" s="63"/>
      <c r="G213" s="169"/>
      <c r="H213" s="63"/>
      <c r="I213" s="63"/>
      <c r="L213" s="63"/>
      <c r="M213" s="63"/>
      <c r="N213" s="63"/>
      <c r="O213" s="63"/>
      <c r="P213" s="63"/>
    </row>
    <row r="214" spans="4:16" x14ac:dyDescent="0.3">
      <c r="D214" s="63"/>
      <c r="E214" s="63"/>
      <c r="F214" s="63"/>
      <c r="G214" s="169"/>
      <c r="H214" s="63"/>
      <c r="I214" s="63"/>
      <c r="L214" s="63"/>
      <c r="M214" s="63"/>
      <c r="N214" s="63"/>
      <c r="O214" s="63"/>
      <c r="P214" s="63"/>
    </row>
    <row r="215" spans="4:16" x14ac:dyDescent="0.3">
      <c r="D215" s="63"/>
      <c r="E215" s="63"/>
      <c r="F215" s="63"/>
      <c r="G215" s="169"/>
      <c r="H215" s="63"/>
      <c r="I215" s="63"/>
      <c r="L215" s="63"/>
      <c r="M215" s="63"/>
      <c r="N215" s="63"/>
      <c r="O215" s="63"/>
      <c r="P215" s="63"/>
    </row>
    <row r="216" spans="4:16" x14ac:dyDescent="0.3">
      <c r="D216" s="63"/>
      <c r="E216" s="63"/>
      <c r="F216" s="63"/>
      <c r="G216" s="169"/>
      <c r="H216" s="63"/>
      <c r="I216" s="63"/>
      <c r="L216" s="63"/>
      <c r="M216" s="63"/>
      <c r="N216" s="63"/>
      <c r="O216" s="63"/>
      <c r="P216" s="63"/>
    </row>
    <row r="217" spans="4:16" x14ac:dyDescent="0.3">
      <c r="D217" s="63"/>
      <c r="E217" s="63"/>
      <c r="F217" s="63"/>
      <c r="G217" s="169"/>
      <c r="H217" s="63"/>
      <c r="I217" s="63"/>
      <c r="L217" s="63"/>
      <c r="M217" s="63"/>
      <c r="N217" s="63"/>
      <c r="O217" s="63"/>
      <c r="P217" s="63"/>
    </row>
    <row r="218" spans="4:16" x14ac:dyDescent="0.3">
      <c r="D218" s="63"/>
      <c r="E218" s="63"/>
      <c r="F218" s="63"/>
      <c r="G218" s="169"/>
      <c r="H218" s="63"/>
      <c r="I218" s="63"/>
      <c r="L218" s="63"/>
      <c r="M218" s="63"/>
      <c r="N218" s="63"/>
      <c r="O218" s="63"/>
      <c r="P218" s="63"/>
    </row>
    <row r="219" spans="4:16" x14ac:dyDescent="0.3">
      <c r="D219" s="63"/>
      <c r="E219" s="63"/>
      <c r="F219" s="63"/>
      <c r="G219" s="169"/>
      <c r="H219" s="63"/>
      <c r="I219" s="63"/>
      <c r="L219" s="63"/>
      <c r="M219" s="63"/>
      <c r="N219" s="63"/>
      <c r="O219" s="63"/>
      <c r="P219" s="63"/>
    </row>
    <row r="220" spans="4:16" x14ac:dyDescent="0.3">
      <c r="D220" s="63"/>
      <c r="E220" s="63"/>
      <c r="F220" s="63"/>
      <c r="G220" s="169"/>
      <c r="H220" s="63"/>
      <c r="I220" s="63"/>
      <c r="L220" s="63"/>
      <c r="M220" s="63"/>
      <c r="N220" s="63"/>
      <c r="O220" s="63"/>
      <c r="P220" s="63"/>
    </row>
    <row r="221" spans="4:16" x14ac:dyDescent="0.3">
      <c r="D221" s="63"/>
      <c r="E221" s="63"/>
      <c r="F221" s="63"/>
      <c r="G221" s="169"/>
      <c r="H221" s="63"/>
      <c r="I221" s="63"/>
      <c r="L221" s="63"/>
      <c r="M221" s="63"/>
      <c r="N221" s="63"/>
      <c r="O221" s="63"/>
      <c r="P221" s="63"/>
    </row>
    <row r="222" spans="4:16" x14ac:dyDescent="0.3">
      <c r="D222" s="63"/>
      <c r="E222" s="63"/>
      <c r="F222" s="63"/>
      <c r="G222" s="169"/>
      <c r="H222" s="63"/>
      <c r="I222" s="63"/>
      <c r="L222" s="63"/>
      <c r="M222" s="63"/>
      <c r="N222" s="63"/>
      <c r="O222" s="63"/>
      <c r="P222" s="63"/>
    </row>
    <row r="223" spans="4:16" x14ac:dyDescent="0.3">
      <c r="D223" s="63"/>
      <c r="E223" s="63"/>
      <c r="F223" s="63"/>
      <c r="G223" s="169"/>
      <c r="H223" s="63"/>
      <c r="I223" s="63"/>
      <c r="L223" s="63"/>
      <c r="M223" s="63"/>
      <c r="N223" s="63"/>
      <c r="O223" s="63"/>
      <c r="P223" s="63"/>
    </row>
    <row r="224" spans="4:16" x14ac:dyDescent="0.3">
      <c r="D224" s="63"/>
      <c r="E224" s="63"/>
      <c r="F224" s="63"/>
      <c r="G224" s="169"/>
      <c r="H224" s="63"/>
      <c r="I224" s="63"/>
      <c r="L224" s="63"/>
      <c r="M224" s="63"/>
      <c r="N224" s="63"/>
      <c r="O224" s="63"/>
      <c r="P224" s="63"/>
    </row>
    <row r="225" spans="4:16" x14ac:dyDescent="0.3">
      <c r="D225" s="63"/>
      <c r="E225" s="63"/>
      <c r="F225" s="63"/>
      <c r="G225" s="169"/>
      <c r="H225" s="63"/>
      <c r="I225" s="63"/>
      <c r="L225" s="63"/>
      <c r="M225" s="63"/>
      <c r="N225" s="63"/>
      <c r="O225" s="63"/>
      <c r="P225" s="63"/>
    </row>
    <row r="226" spans="4:16" x14ac:dyDescent="0.3">
      <c r="D226" s="63"/>
      <c r="E226" s="63"/>
      <c r="F226" s="63"/>
      <c r="G226" s="169"/>
      <c r="H226" s="63"/>
      <c r="I226" s="63"/>
      <c r="L226" s="63"/>
      <c r="M226" s="63"/>
      <c r="N226" s="63"/>
      <c r="O226" s="63"/>
      <c r="P226" s="63"/>
    </row>
    <row r="227" spans="4:16" x14ac:dyDescent="0.3">
      <c r="D227" s="63"/>
      <c r="E227" s="63"/>
      <c r="F227" s="63"/>
      <c r="G227" s="169"/>
      <c r="H227" s="63"/>
      <c r="I227" s="63"/>
      <c r="L227" s="63"/>
      <c r="M227" s="63"/>
      <c r="N227" s="63"/>
      <c r="O227" s="63"/>
      <c r="P227" s="63"/>
    </row>
    <row r="228" spans="4:16" x14ac:dyDescent="0.3">
      <c r="D228" s="63"/>
      <c r="E228" s="63"/>
      <c r="F228" s="63"/>
      <c r="G228" s="169"/>
      <c r="H228" s="63"/>
      <c r="I228" s="63"/>
      <c r="L228" s="63"/>
      <c r="M228" s="63"/>
      <c r="N228" s="63"/>
      <c r="O228" s="63"/>
      <c r="P228" s="63"/>
    </row>
    <row r="229" spans="4:16" x14ac:dyDescent="0.3">
      <c r="D229" s="63"/>
      <c r="E229" s="63"/>
      <c r="F229" s="63"/>
      <c r="G229" s="169"/>
      <c r="H229" s="63"/>
      <c r="I229" s="63"/>
      <c r="L229" s="63"/>
      <c r="M229" s="63"/>
      <c r="N229" s="63"/>
      <c r="O229" s="63"/>
      <c r="P229" s="63"/>
    </row>
  </sheetData>
  <autoFilter ref="A3:Y127" xr:uid="{A9881B34-B31C-483F-A8F5-42FAAE8CFADC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32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09375" defaultRowHeight="15.6" x14ac:dyDescent="0.3"/>
  <cols>
    <col min="1" max="1" width="9.33203125" style="80" bestFit="1" customWidth="1"/>
    <col min="2" max="2" width="47" style="80" customWidth="1"/>
    <col min="3" max="3" width="58.44140625" style="80" bestFit="1" customWidth="1"/>
    <col min="4" max="4" width="15.88671875" style="81" bestFit="1" customWidth="1"/>
    <col min="5" max="16384" width="9.109375" style="80"/>
  </cols>
  <sheetData>
    <row r="3" spans="1:4" x14ac:dyDescent="0.3">
      <c r="A3" s="78" t="s">
        <v>147</v>
      </c>
      <c r="B3" s="78" t="s">
        <v>0</v>
      </c>
      <c r="C3" s="78" t="s">
        <v>0</v>
      </c>
      <c r="D3" s="79" t="s">
        <v>141</v>
      </c>
    </row>
    <row r="4" spans="1:4" x14ac:dyDescent="0.3">
      <c r="A4" s="80">
        <v>2020</v>
      </c>
      <c r="B4" s="80" t="s">
        <v>1</v>
      </c>
      <c r="C4" s="80" t="s">
        <v>2</v>
      </c>
      <c r="D4" s="81">
        <v>144756737.42610183</v>
      </c>
    </row>
    <row r="5" spans="1:4" x14ac:dyDescent="0.3">
      <c r="A5" s="80">
        <v>2020</v>
      </c>
      <c r="B5" s="80" t="s">
        <v>3</v>
      </c>
      <c r="C5" s="80" t="s">
        <v>4</v>
      </c>
      <c r="D5" s="81">
        <v>11885345.9</v>
      </c>
    </row>
    <row r="6" spans="1:4" x14ac:dyDescent="0.3">
      <c r="A6" s="80">
        <v>2020</v>
      </c>
      <c r="B6" s="80" t="s">
        <v>198</v>
      </c>
      <c r="C6" s="80" t="s">
        <v>199</v>
      </c>
      <c r="D6" s="81">
        <v>143460.56021036324</v>
      </c>
    </row>
    <row r="7" spans="1:4" x14ac:dyDescent="0.3">
      <c r="A7" s="80">
        <v>2020</v>
      </c>
      <c r="B7" s="80" t="s">
        <v>200</v>
      </c>
      <c r="C7" s="80" t="s">
        <v>165</v>
      </c>
      <c r="D7" s="81">
        <v>323175.72909090878</v>
      </c>
    </row>
    <row r="8" spans="1:4" x14ac:dyDescent="0.3">
      <c r="A8" s="80">
        <v>2020</v>
      </c>
      <c r="B8" s="80" t="s">
        <v>201</v>
      </c>
      <c r="C8" s="80" t="s">
        <v>202</v>
      </c>
      <c r="D8" s="81">
        <v>24469502.752227362</v>
      </c>
    </row>
    <row r="9" spans="1:4" x14ac:dyDescent="0.3">
      <c r="A9" s="80">
        <v>2020</v>
      </c>
      <c r="B9" s="80" t="s">
        <v>203</v>
      </c>
      <c r="C9" s="80" t="s">
        <v>166</v>
      </c>
      <c r="D9" s="81">
        <v>196963.95</v>
      </c>
    </row>
    <row r="10" spans="1:4" x14ac:dyDescent="0.3">
      <c r="A10" s="80">
        <v>2020</v>
      </c>
      <c r="B10" s="80" t="s">
        <v>204</v>
      </c>
      <c r="C10" s="80" t="s">
        <v>205</v>
      </c>
      <c r="D10" s="81">
        <v>100000</v>
      </c>
    </row>
    <row r="11" spans="1:4" x14ac:dyDescent="0.3">
      <c r="A11" s="80">
        <v>2020</v>
      </c>
      <c r="B11" s="80" t="s">
        <v>206</v>
      </c>
      <c r="C11" s="80" t="s">
        <v>8</v>
      </c>
      <c r="D11" s="81">
        <v>181875186.31763047</v>
      </c>
    </row>
    <row r="12" spans="1:4" x14ac:dyDescent="0.3">
      <c r="A12" s="80">
        <v>2020</v>
      </c>
      <c r="B12" s="80" t="s">
        <v>207</v>
      </c>
      <c r="C12" s="80" t="s">
        <v>169</v>
      </c>
      <c r="D12" s="81">
        <v>39267786.496564828</v>
      </c>
    </row>
    <row r="13" spans="1:4" x14ac:dyDescent="0.3">
      <c r="A13" s="80">
        <v>2020</v>
      </c>
      <c r="B13" s="80" t="s">
        <v>11</v>
      </c>
      <c r="C13" s="80" t="s">
        <v>170</v>
      </c>
      <c r="D13" s="81">
        <v>36180344.175505936</v>
      </c>
    </row>
    <row r="14" spans="1:4" x14ac:dyDescent="0.3">
      <c r="A14" s="80">
        <v>2020</v>
      </c>
      <c r="B14" s="80" t="s">
        <v>208</v>
      </c>
      <c r="C14" s="80" t="s">
        <v>171</v>
      </c>
      <c r="D14" s="81">
        <v>181047.34791506856</v>
      </c>
    </row>
    <row r="15" spans="1:4" x14ac:dyDescent="0.3">
      <c r="A15" s="80">
        <v>2020</v>
      </c>
      <c r="B15" s="80" t="s">
        <v>209</v>
      </c>
      <c r="C15" s="80" t="s">
        <v>172</v>
      </c>
      <c r="D15" s="81">
        <v>1236390.7065499998</v>
      </c>
    </row>
    <row r="16" spans="1:4" x14ac:dyDescent="0.3">
      <c r="A16" s="80">
        <v>2020</v>
      </c>
      <c r="B16" s="80" t="s">
        <v>210</v>
      </c>
      <c r="C16" s="80" t="s">
        <v>173</v>
      </c>
      <c r="D16" s="81">
        <v>20704631.823772997</v>
      </c>
    </row>
    <row r="17" spans="1:4" x14ac:dyDescent="0.3">
      <c r="A17" s="80">
        <v>2020</v>
      </c>
      <c r="B17" s="80" t="s">
        <v>167</v>
      </c>
      <c r="C17" s="80" t="s">
        <v>168</v>
      </c>
      <c r="D17" s="81">
        <v>70844.84</v>
      </c>
    </row>
    <row r="18" spans="1:4" x14ac:dyDescent="0.3">
      <c r="A18" s="80">
        <v>2020</v>
      </c>
      <c r="B18" s="80" t="s">
        <v>211</v>
      </c>
      <c r="C18" s="80" t="s">
        <v>16</v>
      </c>
      <c r="D18" s="81">
        <v>97641045.390308842</v>
      </c>
    </row>
    <row r="19" spans="1:4" x14ac:dyDescent="0.3">
      <c r="A19" s="80">
        <v>2020</v>
      </c>
      <c r="B19" s="80" t="s">
        <v>212</v>
      </c>
      <c r="C19" s="80" t="s">
        <v>213</v>
      </c>
      <c r="D19" s="81">
        <v>279516231.70793933</v>
      </c>
    </row>
    <row r="20" spans="1:4" x14ac:dyDescent="0.3">
      <c r="A20" s="80">
        <v>2020</v>
      </c>
      <c r="B20" s="80" t="s">
        <v>19</v>
      </c>
      <c r="C20" s="80" t="s">
        <v>20</v>
      </c>
      <c r="D20" s="81">
        <v>26412609.943440005</v>
      </c>
    </row>
    <row r="21" spans="1:4" x14ac:dyDescent="0.3">
      <c r="A21" s="80">
        <v>2020</v>
      </c>
      <c r="B21" s="80" t="s">
        <v>214</v>
      </c>
      <c r="C21" s="80" t="s">
        <v>22</v>
      </c>
      <c r="D21" s="81">
        <v>2182283.2899999991</v>
      </c>
    </row>
    <row r="22" spans="1:4" x14ac:dyDescent="0.3">
      <c r="A22" s="80">
        <v>2020</v>
      </c>
      <c r="B22" s="80" t="s">
        <v>23</v>
      </c>
      <c r="C22" s="80" t="s">
        <v>174</v>
      </c>
      <c r="D22" s="81">
        <v>60969177.209163398</v>
      </c>
    </row>
    <row r="23" spans="1:4" x14ac:dyDescent="0.3">
      <c r="A23" s="80">
        <v>2020</v>
      </c>
      <c r="B23" s="80" t="s">
        <v>24</v>
      </c>
      <c r="C23" s="80" t="s">
        <v>25</v>
      </c>
      <c r="D23" s="81">
        <v>49237598.287676029</v>
      </c>
    </row>
    <row r="24" spans="1:4" x14ac:dyDescent="0.3">
      <c r="A24" s="80">
        <v>2020</v>
      </c>
      <c r="B24" s="80" t="s">
        <v>215</v>
      </c>
      <c r="C24" s="80" t="s">
        <v>216</v>
      </c>
      <c r="D24" s="81">
        <v>138801668.73027945</v>
      </c>
    </row>
    <row r="25" spans="1:4" x14ac:dyDescent="0.3">
      <c r="A25" s="80">
        <v>2020</v>
      </c>
      <c r="B25" s="80" t="s">
        <v>217</v>
      </c>
      <c r="C25" s="80" t="s">
        <v>218</v>
      </c>
      <c r="D25" s="81">
        <v>909941.30470211047</v>
      </c>
    </row>
    <row r="26" spans="1:4" x14ac:dyDescent="0.3">
      <c r="A26" s="80">
        <v>2020</v>
      </c>
      <c r="B26" s="80" t="s">
        <v>219</v>
      </c>
      <c r="C26" s="80" t="s">
        <v>220</v>
      </c>
      <c r="D26" s="81">
        <v>139711610.03498155</v>
      </c>
    </row>
    <row r="27" spans="1:4" x14ac:dyDescent="0.3">
      <c r="A27" s="80">
        <v>2020</v>
      </c>
      <c r="B27" s="80" t="s">
        <v>221</v>
      </c>
      <c r="C27" s="80" t="s">
        <v>222</v>
      </c>
      <c r="D27" s="81">
        <v>446038</v>
      </c>
    </row>
    <row r="28" spans="1:4" x14ac:dyDescent="0.3">
      <c r="A28" s="80">
        <v>2020</v>
      </c>
      <c r="B28" s="80" t="s">
        <v>223</v>
      </c>
      <c r="C28" s="80" t="s">
        <v>31</v>
      </c>
      <c r="D28" s="81">
        <v>7852871</v>
      </c>
    </row>
    <row r="29" spans="1:4" x14ac:dyDescent="0.3">
      <c r="A29" s="80">
        <v>2020</v>
      </c>
      <c r="B29" s="80" t="s">
        <v>180</v>
      </c>
      <c r="C29" s="80" t="s">
        <v>181</v>
      </c>
      <c r="D29" s="81">
        <v>17856699.280000001</v>
      </c>
    </row>
    <row r="30" spans="1:4" x14ac:dyDescent="0.3">
      <c r="A30" s="80">
        <v>2020</v>
      </c>
      <c r="B30" s="80" t="s">
        <v>224</v>
      </c>
      <c r="C30" s="80" t="s">
        <v>182</v>
      </c>
      <c r="D30" s="81">
        <v>19761266.899999999</v>
      </c>
    </row>
    <row r="31" spans="1:4" x14ac:dyDescent="0.3">
      <c r="A31" s="80">
        <v>2020</v>
      </c>
      <c r="B31" s="80" t="s">
        <v>225</v>
      </c>
      <c r="C31" s="80" t="s">
        <v>35</v>
      </c>
      <c r="D31" s="81">
        <v>45916875.18</v>
      </c>
    </row>
    <row r="32" spans="1:4" x14ac:dyDescent="0.3">
      <c r="A32" s="80">
        <v>2020</v>
      </c>
      <c r="B32" s="80" t="s">
        <v>175</v>
      </c>
      <c r="C32" s="80" t="s">
        <v>226</v>
      </c>
      <c r="D32" s="81">
        <v>33374993.925974838</v>
      </c>
    </row>
    <row r="33" spans="1:4" x14ac:dyDescent="0.3">
      <c r="A33" s="80">
        <v>2020</v>
      </c>
      <c r="B33" s="80" t="s">
        <v>176</v>
      </c>
      <c r="C33" s="80" t="s">
        <v>177</v>
      </c>
      <c r="D33" s="81">
        <v>52867564.909999996</v>
      </c>
    </row>
    <row r="34" spans="1:4" x14ac:dyDescent="0.3">
      <c r="A34" s="80">
        <v>2020</v>
      </c>
      <c r="B34" s="80" t="s">
        <v>178</v>
      </c>
      <c r="C34" s="80" t="s">
        <v>179</v>
      </c>
      <c r="D34" s="81">
        <v>7645188.0058750007</v>
      </c>
    </row>
    <row r="35" spans="1:4" x14ac:dyDescent="0.3">
      <c r="A35" s="80">
        <v>2020</v>
      </c>
      <c r="B35" s="80" t="s">
        <v>227</v>
      </c>
      <c r="C35" s="80" t="s">
        <v>39</v>
      </c>
      <c r="D35" s="81">
        <v>93887746.841849849</v>
      </c>
    </row>
    <row r="36" spans="1:4" x14ac:dyDescent="0.3">
      <c r="A36" s="80">
        <v>2020</v>
      </c>
      <c r="B36" s="80" t="s">
        <v>228</v>
      </c>
      <c r="C36" s="80" t="s">
        <v>41</v>
      </c>
      <c r="D36" s="81">
        <v>139804622.02184984</v>
      </c>
    </row>
    <row r="37" spans="1:4" x14ac:dyDescent="0.3">
      <c r="A37" s="80">
        <v>2020</v>
      </c>
      <c r="B37" s="80" t="s">
        <v>229</v>
      </c>
      <c r="C37" s="80" t="s">
        <v>230</v>
      </c>
      <c r="D37" s="81">
        <v>279516232.05683136</v>
      </c>
    </row>
    <row r="38" spans="1:4" x14ac:dyDescent="0.3">
      <c r="A38" s="80">
        <v>2021</v>
      </c>
      <c r="B38" s="80" t="s">
        <v>1</v>
      </c>
      <c r="C38" s="80" t="s">
        <v>2</v>
      </c>
      <c r="D38" s="81">
        <v>132497913.65999791</v>
      </c>
    </row>
    <row r="39" spans="1:4" x14ac:dyDescent="0.3">
      <c r="A39" s="80">
        <v>2021</v>
      </c>
      <c r="B39" s="80" t="s">
        <v>3</v>
      </c>
      <c r="C39" s="80" t="s">
        <v>4</v>
      </c>
      <c r="D39" s="81">
        <v>10894586</v>
      </c>
    </row>
    <row r="40" spans="1:4" x14ac:dyDescent="0.3">
      <c r="A40" s="80">
        <v>2021</v>
      </c>
      <c r="B40" s="80" t="s">
        <v>198</v>
      </c>
      <c r="C40" s="80" t="s">
        <v>199</v>
      </c>
      <c r="D40" s="81">
        <v>143460.56021036324</v>
      </c>
    </row>
    <row r="41" spans="1:4" x14ac:dyDescent="0.3">
      <c r="A41" s="80">
        <v>2021</v>
      </c>
      <c r="B41" s="80" t="s">
        <v>200</v>
      </c>
      <c r="C41" s="80" t="s">
        <v>165</v>
      </c>
      <c r="D41" s="81">
        <v>298466.16272727284</v>
      </c>
    </row>
    <row r="42" spans="1:4" x14ac:dyDescent="0.3">
      <c r="A42" s="80">
        <v>2021</v>
      </c>
      <c r="B42" s="80" t="s">
        <v>201</v>
      </c>
      <c r="C42" s="80" t="s">
        <v>202</v>
      </c>
      <c r="D42" s="81">
        <v>23324616.914013024</v>
      </c>
    </row>
    <row r="43" spans="1:4" x14ac:dyDescent="0.3">
      <c r="A43" s="80">
        <v>2021</v>
      </c>
      <c r="B43" s="80" t="s">
        <v>203</v>
      </c>
      <c r="C43" s="80" t="s">
        <v>166</v>
      </c>
      <c r="D43" s="81">
        <v>196974.40000000037</v>
      </c>
    </row>
    <row r="44" spans="1:4" x14ac:dyDescent="0.3">
      <c r="A44" s="80">
        <v>2021</v>
      </c>
      <c r="B44" s="80" t="s">
        <v>204</v>
      </c>
      <c r="C44" s="80" t="s">
        <v>205</v>
      </c>
      <c r="D44" s="81">
        <v>0</v>
      </c>
    </row>
    <row r="45" spans="1:4" x14ac:dyDescent="0.3">
      <c r="A45" s="80">
        <v>2021</v>
      </c>
      <c r="B45" s="80" t="s">
        <v>206</v>
      </c>
      <c r="C45" s="80" t="s">
        <v>8</v>
      </c>
      <c r="D45" s="81">
        <v>167356017.69694859</v>
      </c>
    </row>
    <row r="46" spans="1:4" x14ac:dyDescent="0.3">
      <c r="A46" s="80">
        <v>2021</v>
      </c>
      <c r="B46" s="80" t="s">
        <v>207</v>
      </c>
      <c r="C46" s="80" t="s">
        <v>169</v>
      </c>
      <c r="D46" s="81">
        <v>54803658.57558158</v>
      </c>
    </row>
    <row r="47" spans="1:4" x14ac:dyDescent="0.3">
      <c r="A47" s="80">
        <v>2021</v>
      </c>
      <c r="B47" s="80" t="s">
        <v>11</v>
      </c>
      <c r="C47" s="80" t="s">
        <v>170</v>
      </c>
      <c r="D47" s="81">
        <v>53054233.585505947</v>
      </c>
    </row>
    <row r="48" spans="1:4" x14ac:dyDescent="0.3">
      <c r="A48" s="80">
        <v>2021</v>
      </c>
      <c r="B48" s="80" t="s">
        <v>208</v>
      </c>
      <c r="C48" s="80" t="s">
        <v>171</v>
      </c>
      <c r="D48" s="81">
        <v>617901.78</v>
      </c>
    </row>
    <row r="49" spans="1:4" x14ac:dyDescent="0.3">
      <c r="A49" s="80">
        <v>2021</v>
      </c>
      <c r="B49" s="80" t="s">
        <v>209</v>
      </c>
      <c r="C49" s="80" t="s">
        <v>172</v>
      </c>
      <c r="D49" s="81">
        <v>4621551.3065499999</v>
      </c>
    </row>
    <row r="50" spans="1:4" x14ac:dyDescent="0.3">
      <c r="A50" s="80">
        <v>2021</v>
      </c>
      <c r="B50" s="80" t="s">
        <v>210</v>
      </c>
      <c r="C50" s="80" t="s">
        <v>173</v>
      </c>
      <c r="D50" s="81">
        <v>17596892.999122001</v>
      </c>
    </row>
    <row r="51" spans="1:4" x14ac:dyDescent="0.3">
      <c r="A51" s="80">
        <v>2021</v>
      </c>
      <c r="B51" s="80" t="s">
        <v>167</v>
      </c>
      <c r="C51" s="80" t="s">
        <v>168</v>
      </c>
      <c r="D51" s="81">
        <v>3760155</v>
      </c>
    </row>
    <row r="52" spans="1:4" x14ac:dyDescent="0.3">
      <c r="A52" s="80">
        <v>2021</v>
      </c>
      <c r="B52" s="80" t="s">
        <v>211</v>
      </c>
      <c r="C52" s="80" t="s">
        <v>16</v>
      </c>
      <c r="D52" s="81">
        <v>134454393.24675953</v>
      </c>
    </row>
    <row r="53" spans="1:4" x14ac:dyDescent="0.3">
      <c r="A53" s="80">
        <v>2021</v>
      </c>
      <c r="B53" s="80" t="s">
        <v>212</v>
      </c>
      <c r="C53" s="80" t="s">
        <v>213</v>
      </c>
      <c r="D53" s="81">
        <v>301810410.94370812</v>
      </c>
    </row>
    <row r="54" spans="1:4" x14ac:dyDescent="0.3">
      <c r="A54" s="80">
        <v>2021</v>
      </c>
      <c r="B54" s="80" t="s">
        <v>19</v>
      </c>
      <c r="C54" s="80" t="s">
        <v>20</v>
      </c>
      <c r="D54" s="81">
        <v>26412210.343440004</v>
      </c>
    </row>
    <row r="55" spans="1:4" x14ac:dyDescent="0.3">
      <c r="A55" s="80">
        <v>2021</v>
      </c>
      <c r="B55" s="80" t="s">
        <v>214</v>
      </c>
      <c r="C55" s="80" t="s">
        <v>22</v>
      </c>
      <c r="D55" s="81">
        <v>2182283</v>
      </c>
    </row>
    <row r="56" spans="1:4" x14ac:dyDescent="0.3">
      <c r="A56" s="80">
        <v>2021</v>
      </c>
      <c r="B56" s="80" t="s">
        <v>23</v>
      </c>
      <c r="C56" s="80" t="s">
        <v>174</v>
      </c>
      <c r="D56" s="81">
        <v>60227359.809163399</v>
      </c>
    </row>
    <row r="57" spans="1:4" x14ac:dyDescent="0.3">
      <c r="A57" s="80">
        <v>2021</v>
      </c>
      <c r="B57" s="80" t="s">
        <v>24</v>
      </c>
      <c r="C57" s="80" t="s">
        <v>25</v>
      </c>
      <c r="D57" s="81">
        <v>49182732.063599013</v>
      </c>
    </row>
    <row r="58" spans="1:4" x14ac:dyDescent="0.3">
      <c r="A58" s="80">
        <v>2021</v>
      </c>
      <c r="B58" s="80" t="s">
        <v>215</v>
      </c>
      <c r="C58" s="80" t="s">
        <v>216</v>
      </c>
      <c r="D58" s="81">
        <v>138004585.21620241</v>
      </c>
    </row>
    <row r="59" spans="1:4" x14ac:dyDescent="0.3">
      <c r="A59" s="80">
        <v>2021</v>
      </c>
      <c r="B59" s="80" t="s">
        <v>217</v>
      </c>
      <c r="C59" s="80" t="s">
        <v>218</v>
      </c>
      <c r="D59" s="81">
        <v>915580.80087402463</v>
      </c>
    </row>
    <row r="60" spans="1:4" x14ac:dyDescent="0.3">
      <c r="A60" s="80">
        <v>2021</v>
      </c>
      <c r="B60" s="80" t="s">
        <v>219</v>
      </c>
      <c r="C60" s="80" t="s">
        <v>220</v>
      </c>
      <c r="D60" s="81">
        <v>138920166.01707643</v>
      </c>
    </row>
    <row r="61" spans="1:4" x14ac:dyDescent="0.3">
      <c r="A61" s="80">
        <v>2021</v>
      </c>
      <c r="B61" s="80" t="s">
        <v>221</v>
      </c>
      <c r="C61" s="80" t="s">
        <v>222</v>
      </c>
      <c r="D61" s="81">
        <v>659623</v>
      </c>
    </row>
    <row r="62" spans="1:4" x14ac:dyDescent="0.3">
      <c r="A62" s="80">
        <v>2021</v>
      </c>
      <c r="B62" s="80" t="s">
        <v>223</v>
      </c>
      <c r="C62" s="80" t="s">
        <v>31</v>
      </c>
      <c r="D62" s="81">
        <v>8012574</v>
      </c>
    </row>
    <row r="63" spans="1:4" x14ac:dyDescent="0.3">
      <c r="A63" s="80">
        <v>2021</v>
      </c>
      <c r="B63" s="80" t="s">
        <v>180</v>
      </c>
      <c r="C63" s="80" t="s">
        <v>181</v>
      </c>
      <c r="D63" s="81">
        <v>7623546.7200000007</v>
      </c>
    </row>
    <row r="64" spans="1:4" x14ac:dyDescent="0.3">
      <c r="A64" s="80">
        <v>2021</v>
      </c>
      <c r="B64" s="80" t="s">
        <v>224</v>
      </c>
      <c r="C64" s="80" t="s">
        <v>182</v>
      </c>
      <c r="D64" s="81">
        <v>16015574.9</v>
      </c>
    </row>
    <row r="65" spans="1:4" x14ac:dyDescent="0.3">
      <c r="A65" s="80">
        <v>2021</v>
      </c>
      <c r="B65" s="80" t="s">
        <v>225</v>
      </c>
      <c r="C65" s="80" t="s">
        <v>35</v>
      </c>
      <c r="D65" s="81">
        <v>32311318.620000001</v>
      </c>
    </row>
    <row r="66" spans="1:4" x14ac:dyDescent="0.3">
      <c r="A66" s="80">
        <v>2021</v>
      </c>
      <c r="B66" s="80" t="s">
        <v>175</v>
      </c>
      <c r="C66" s="80" t="s">
        <v>226</v>
      </c>
      <c r="D66" s="81">
        <v>55224664.185974844</v>
      </c>
    </row>
    <row r="67" spans="1:4" x14ac:dyDescent="0.3">
      <c r="A67" s="80">
        <v>2021</v>
      </c>
      <c r="B67" s="80" t="s">
        <v>176</v>
      </c>
      <c r="C67" s="80" t="s">
        <v>177</v>
      </c>
      <c r="D67" s="81">
        <v>67635179.310000002</v>
      </c>
    </row>
    <row r="68" spans="1:4" x14ac:dyDescent="0.3">
      <c r="A68" s="80">
        <v>2021</v>
      </c>
      <c r="B68" s="80" t="s">
        <v>178</v>
      </c>
      <c r="C68" s="80" t="s">
        <v>179</v>
      </c>
      <c r="D68" s="81">
        <v>7719083.2158749998</v>
      </c>
    </row>
    <row r="69" spans="1:4" x14ac:dyDescent="0.3">
      <c r="A69" s="80">
        <v>2021</v>
      </c>
      <c r="B69" s="80" t="s">
        <v>227</v>
      </c>
      <c r="C69" s="80" t="s">
        <v>39</v>
      </c>
      <c r="D69" s="81">
        <v>130578926.71184984</v>
      </c>
    </row>
    <row r="70" spans="1:4" x14ac:dyDescent="0.3">
      <c r="A70" s="80">
        <v>2021</v>
      </c>
      <c r="B70" s="80" t="s">
        <v>228</v>
      </c>
      <c r="C70" s="80" t="s">
        <v>41</v>
      </c>
      <c r="D70" s="81">
        <v>162890245.33184984</v>
      </c>
    </row>
    <row r="71" spans="1:4" x14ac:dyDescent="0.3">
      <c r="A71" s="80">
        <v>2021</v>
      </c>
      <c r="B71" s="80" t="s">
        <v>229</v>
      </c>
      <c r="C71" s="80" t="s">
        <v>230</v>
      </c>
      <c r="D71" s="81">
        <v>301810411.34892631</v>
      </c>
    </row>
    <row r="72" spans="1:4" x14ac:dyDescent="0.3">
      <c r="A72" s="80">
        <v>2022</v>
      </c>
      <c r="B72" s="80" t="s">
        <v>1</v>
      </c>
      <c r="C72" s="80" t="s">
        <v>2</v>
      </c>
      <c r="D72" s="81">
        <v>123886765</v>
      </c>
    </row>
    <row r="73" spans="1:4" x14ac:dyDescent="0.3">
      <c r="A73" s="80">
        <v>2022</v>
      </c>
      <c r="B73" s="80" t="s">
        <v>3</v>
      </c>
      <c r="C73" s="80" t="s">
        <v>4</v>
      </c>
      <c r="D73" s="81">
        <v>9883738</v>
      </c>
    </row>
    <row r="74" spans="1:4" x14ac:dyDescent="0.3">
      <c r="A74" s="80">
        <v>2022</v>
      </c>
      <c r="B74" s="80" t="s">
        <v>198</v>
      </c>
      <c r="C74" s="80" t="s">
        <v>199</v>
      </c>
      <c r="D74" s="81">
        <v>143461</v>
      </c>
    </row>
    <row r="75" spans="1:4" x14ac:dyDescent="0.3">
      <c r="A75" s="80">
        <v>2022</v>
      </c>
      <c r="B75" s="80" t="s">
        <v>200</v>
      </c>
      <c r="C75" s="80" t="s">
        <v>165</v>
      </c>
      <c r="D75" s="81">
        <v>329100</v>
      </c>
    </row>
    <row r="76" spans="1:4" x14ac:dyDescent="0.3">
      <c r="A76" s="80">
        <v>2022</v>
      </c>
      <c r="B76" s="80" t="s">
        <v>201</v>
      </c>
      <c r="C76" s="80" t="s">
        <v>202</v>
      </c>
      <c r="D76" s="81">
        <v>0</v>
      </c>
    </row>
    <row r="77" spans="1:4" x14ac:dyDescent="0.3">
      <c r="A77" s="80">
        <v>2022</v>
      </c>
      <c r="B77" s="80" t="s">
        <v>203</v>
      </c>
      <c r="C77" s="80" t="s">
        <v>166</v>
      </c>
      <c r="D77" s="81">
        <v>297974</v>
      </c>
    </row>
    <row r="78" spans="1:4" x14ac:dyDescent="0.3">
      <c r="A78" s="80">
        <v>2022</v>
      </c>
      <c r="B78" s="80" t="s">
        <v>204</v>
      </c>
      <c r="C78" s="80" t="s">
        <v>205</v>
      </c>
      <c r="D78" s="81">
        <v>1898</v>
      </c>
    </row>
    <row r="79" spans="1:4" x14ac:dyDescent="0.3">
      <c r="A79" s="80">
        <v>2022</v>
      </c>
      <c r="B79" s="80" t="s">
        <v>206</v>
      </c>
      <c r="C79" s="80" t="s">
        <v>8</v>
      </c>
      <c r="D79" s="81">
        <v>134542936</v>
      </c>
    </row>
    <row r="80" spans="1:4" x14ac:dyDescent="0.3">
      <c r="A80" s="80">
        <v>2022</v>
      </c>
      <c r="B80" s="80" t="s">
        <v>207</v>
      </c>
      <c r="C80" s="80" t="s">
        <v>169</v>
      </c>
      <c r="D80" s="81">
        <v>65899751</v>
      </c>
    </row>
    <row r="81" spans="1:4" x14ac:dyDescent="0.3">
      <c r="A81" s="80">
        <v>2022</v>
      </c>
      <c r="B81" s="80" t="s">
        <v>11</v>
      </c>
      <c r="C81" s="80" t="s">
        <v>170</v>
      </c>
      <c r="D81" s="81">
        <v>60979526</v>
      </c>
    </row>
    <row r="82" spans="1:4" x14ac:dyDescent="0.3">
      <c r="A82" s="80">
        <v>2022</v>
      </c>
      <c r="B82" s="80" t="s">
        <v>208</v>
      </c>
      <c r="C82" s="80" t="s">
        <v>171</v>
      </c>
      <c r="D82" s="81">
        <v>263414</v>
      </c>
    </row>
    <row r="83" spans="1:4" x14ac:dyDescent="0.3">
      <c r="A83" s="80">
        <v>2022</v>
      </c>
      <c r="B83" s="80" t="s">
        <v>209</v>
      </c>
      <c r="C83" s="80" t="s">
        <v>172</v>
      </c>
      <c r="D83" s="81">
        <v>4796687</v>
      </c>
    </row>
    <row r="84" spans="1:4" x14ac:dyDescent="0.3">
      <c r="A84" s="80">
        <v>2022</v>
      </c>
      <c r="B84" s="80" t="s">
        <v>210</v>
      </c>
      <c r="C84" s="80" t="s">
        <v>173</v>
      </c>
      <c r="D84" s="81">
        <v>73869061</v>
      </c>
    </row>
    <row r="85" spans="1:4" x14ac:dyDescent="0.3">
      <c r="A85" s="80">
        <v>2022</v>
      </c>
      <c r="B85" s="80" t="s">
        <v>167</v>
      </c>
      <c r="C85" s="80" t="s">
        <v>168</v>
      </c>
      <c r="D85" s="81">
        <v>3760155</v>
      </c>
    </row>
    <row r="86" spans="1:4" x14ac:dyDescent="0.3">
      <c r="A86" s="80">
        <v>2022</v>
      </c>
      <c r="B86" s="80" t="s">
        <v>211</v>
      </c>
      <c r="C86" s="80" t="s">
        <v>16</v>
      </c>
      <c r="D86" s="81">
        <v>209568594</v>
      </c>
    </row>
    <row r="87" spans="1:4" x14ac:dyDescent="0.3">
      <c r="A87" s="80">
        <v>2022</v>
      </c>
      <c r="B87" s="80" t="s">
        <v>212</v>
      </c>
      <c r="C87" s="80" t="s">
        <v>213</v>
      </c>
      <c r="D87" s="81">
        <v>344111530</v>
      </c>
    </row>
    <row r="88" spans="1:4" x14ac:dyDescent="0.3">
      <c r="A88" s="80">
        <v>2022</v>
      </c>
      <c r="B88" s="80" t="s">
        <v>19</v>
      </c>
      <c r="C88" s="80" t="s">
        <v>20</v>
      </c>
      <c r="D88" s="81">
        <v>26412210</v>
      </c>
    </row>
    <row r="89" spans="1:4" x14ac:dyDescent="0.3">
      <c r="A89" s="80">
        <v>2022</v>
      </c>
      <c r="B89" s="80" t="s">
        <v>214</v>
      </c>
      <c r="C89" s="80" t="s">
        <v>22</v>
      </c>
      <c r="D89" s="81">
        <v>2182283</v>
      </c>
    </row>
    <row r="90" spans="1:4" x14ac:dyDescent="0.3">
      <c r="A90" s="80">
        <v>2022</v>
      </c>
      <c r="B90" s="80" t="s">
        <v>23</v>
      </c>
      <c r="C90" s="80" t="s">
        <v>174</v>
      </c>
      <c r="D90" s="81">
        <v>62917677</v>
      </c>
    </row>
    <row r="91" spans="1:4" x14ac:dyDescent="0.3">
      <c r="A91" s="80">
        <v>2022</v>
      </c>
      <c r="B91" s="80" t="s">
        <v>24</v>
      </c>
      <c r="C91" s="80" t="s">
        <v>25</v>
      </c>
      <c r="D91" s="81">
        <v>77247165</v>
      </c>
    </row>
    <row r="92" spans="1:4" x14ac:dyDescent="0.3">
      <c r="A92" s="80">
        <v>2022</v>
      </c>
      <c r="B92" s="80" t="s">
        <v>215</v>
      </c>
      <c r="C92" s="80" t="s">
        <v>216</v>
      </c>
      <c r="D92" s="81">
        <v>168759335</v>
      </c>
    </row>
    <row r="93" spans="1:4" x14ac:dyDescent="0.3">
      <c r="A93" s="80">
        <v>2022</v>
      </c>
      <c r="B93" s="80" t="s">
        <v>217</v>
      </c>
      <c r="C93" s="80" t="s">
        <v>218</v>
      </c>
      <c r="D93" s="81">
        <v>920916</v>
      </c>
    </row>
    <row r="94" spans="1:4" x14ac:dyDescent="0.3">
      <c r="A94" s="80">
        <v>2022</v>
      </c>
      <c r="B94" s="80" t="s">
        <v>219</v>
      </c>
      <c r="C94" s="80" t="s">
        <v>220</v>
      </c>
      <c r="D94" s="81">
        <v>169680251</v>
      </c>
    </row>
    <row r="95" spans="1:4" x14ac:dyDescent="0.3">
      <c r="A95" s="80">
        <v>2022</v>
      </c>
      <c r="B95" s="80" t="s">
        <v>221</v>
      </c>
      <c r="C95" s="80" t="s">
        <v>222</v>
      </c>
      <c r="D95" s="81">
        <v>1429017</v>
      </c>
    </row>
    <row r="96" spans="1:4" x14ac:dyDescent="0.3">
      <c r="A96" s="80">
        <v>2022</v>
      </c>
      <c r="B96" s="80" t="s">
        <v>223</v>
      </c>
      <c r="C96" s="80" t="s">
        <v>31</v>
      </c>
      <c r="D96" s="81">
        <v>7780659</v>
      </c>
    </row>
    <row r="97" spans="1:4" x14ac:dyDescent="0.3">
      <c r="A97" s="80">
        <v>2022</v>
      </c>
      <c r="B97" s="80" t="s">
        <v>180</v>
      </c>
      <c r="C97" s="80" t="s">
        <v>181</v>
      </c>
      <c r="D97" s="81">
        <v>4044764</v>
      </c>
    </row>
    <row r="98" spans="1:4" x14ac:dyDescent="0.3">
      <c r="A98" s="80">
        <v>2022</v>
      </c>
      <c r="B98" s="80" t="s">
        <v>224</v>
      </c>
      <c r="C98" s="80" t="s">
        <v>182</v>
      </c>
      <c r="D98" s="81">
        <v>13384594</v>
      </c>
    </row>
    <row r="99" spans="1:4" x14ac:dyDescent="0.3">
      <c r="A99" s="80">
        <v>2022</v>
      </c>
      <c r="B99" s="80" t="s">
        <v>225</v>
      </c>
      <c r="C99" s="80" t="s">
        <v>35</v>
      </c>
      <c r="D99" s="81">
        <v>26639034</v>
      </c>
    </row>
    <row r="100" spans="1:4" x14ac:dyDescent="0.3">
      <c r="A100" s="80">
        <v>2022</v>
      </c>
      <c r="B100" s="80" t="s">
        <v>175</v>
      </c>
      <c r="C100" s="80" t="s">
        <v>226</v>
      </c>
      <c r="D100" s="81">
        <v>63161506</v>
      </c>
    </row>
    <row r="101" spans="1:4" x14ac:dyDescent="0.3">
      <c r="A101" s="80">
        <v>2022</v>
      </c>
      <c r="B101" s="80" t="s">
        <v>176</v>
      </c>
      <c r="C101" s="80" t="s">
        <v>177</v>
      </c>
      <c r="D101" s="81">
        <v>74737029</v>
      </c>
    </row>
    <row r="102" spans="1:4" x14ac:dyDescent="0.3">
      <c r="A102" s="80">
        <v>2022</v>
      </c>
      <c r="B102" s="80" t="s">
        <v>178</v>
      </c>
      <c r="C102" s="80" t="s">
        <v>179</v>
      </c>
      <c r="D102" s="81">
        <v>9893710</v>
      </c>
    </row>
    <row r="103" spans="1:4" x14ac:dyDescent="0.3">
      <c r="A103" s="80">
        <v>2022</v>
      </c>
      <c r="B103" s="80" t="s">
        <v>227</v>
      </c>
      <c r="C103" s="80" t="s">
        <v>39</v>
      </c>
      <c r="D103" s="81">
        <v>147792245</v>
      </c>
    </row>
    <row r="104" spans="1:4" x14ac:dyDescent="0.3">
      <c r="A104" s="80">
        <v>2022</v>
      </c>
      <c r="B104" s="80" t="s">
        <v>228</v>
      </c>
      <c r="C104" s="80" t="s">
        <v>41</v>
      </c>
      <c r="D104" s="81">
        <v>174431279</v>
      </c>
    </row>
    <row r="105" spans="1:4" x14ac:dyDescent="0.3">
      <c r="A105" s="80">
        <v>2022</v>
      </c>
      <c r="B105" s="80" t="s">
        <v>229</v>
      </c>
      <c r="C105" s="80" t="s">
        <v>230</v>
      </c>
      <c r="D105" s="81">
        <v>344111530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48"/>
  <sheetViews>
    <sheetView showGridLines="0" topLeftCell="A13" workbookViewId="0">
      <selection activeCell="F3" sqref="F3"/>
    </sheetView>
  </sheetViews>
  <sheetFormatPr defaultColWidth="9.109375" defaultRowHeight="14.4" x14ac:dyDescent="0.3"/>
  <cols>
    <col min="1" max="1" width="22.6640625" style="40" customWidth="1"/>
    <col min="2" max="2" width="16.6640625" style="40" bestFit="1" customWidth="1"/>
    <col min="3" max="3" width="17.5546875" style="40" bestFit="1" customWidth="1"/>
    <col min="4" max="4" width="17.6640625" style="40" customWidth="1"/>
    <col min="5" max="5" width="14.109375" style="40" bestFit="1" customWidth="1"/>
    <col min="6" max="6" width="14.5546875" style="40" bestFit="1" customWidth="1"/>
    <col min="7" max="7" width="13.44140625" style="40" bestFit="1" customWidth="1"/>
    <col min="8" max="8" width="12.88671875" style="40" bestFit="1" customWidth="1"/>
    <col min="9" max="9" width="15" style="40" bestFit="1" customWidth="1"/>
    <col min="10" max="10" width="6.33203125" style="40" customWidth="1"/>
    <col min="11" max="11" width="5.44140625" style="40" bestFit="1" customWidth="1"/>
    <col min="12" max="12" width="5.5546875" style="40" bestFit="1" customWidth="1"/>
    <col min="13" max="13" width="24.6640625" style="53" bestFit="1" customWidth="1"/>
    <col min="14" max="14" width="3" style="40" customWidth="1"/>
    <col min="15" max="15" width="9.109375" style="53"/>
    <col min="16" max="16" width="2.88671875" style="40" customWidth="1"/>
    <col min="17" max="17" width="9.33203125" style="40" bestFit="1" customWidth="1"/>
    <col min="18" max="18" width="16.109375" style="40" bestFit="1" customWidth="1"/>
    <col min="19" max="19" width="24.6640625" style="40" bestFit="1" customWidth="1"/>
    <col min="20" max="20" width="3.33203125" style="40" customWidth="1"/>
    <col min="21" max="21" width="9.33203125" style="40" bestFit="1" customWidth="1"/>
    <col min="22" max="23" width="9.109375" style="40"/>
    <col min="24" max="24" width="21.77734375" style="40" bestFit="1" customWidth="1"/>
    <col min="25" max="25" width="9.109375" style="53"/>
    <col min="26" max="26" width="9.109375" style="40"/>
    <col min="27" max="27" width="3.5546875" style="40" customWidth="1"/>
    <col min="28" max="28" width="9.109375" style="40"/>
    <col min="29" max="29" width="20" style="40" bestFit="1" customWidth="1"/>
    <col min="30" max="30" width="33.44140625" style="40" customWidth="1"/>
    <col min="31" max="32" width="9.109375" style="40"/>
    <col min="33" max="33" width="32.88671875" style="40" customWidth="1"/>
    <col min="34" max="34" width="14.5546875" style="40" bestFit="1" customWidth="1"/>
    <col min="35" max="35" width="15.6640625" style="40" bestFit="1" customWidth="1"/>
    <col min="36" max="16384" width="9.109375" style="40"/>
  </cols>
  <sheetData>
    <row r="1" spans="1:36" x14ac:dyDescent="0.3">
      <c r="A1" s="42" t="str">
        <f>A4&amp;" vs. "&amp;A5</f>
        <v>Total current liabilities vs. Total current assets</v>
      </c>
      <c r="B1" s="42"/>
      <c r="F1" s="54" t="s">
        <v>268</v>
      </c>
      <c r="G1" s="54" t="s">
        <v>269</v>
      </c>
      <c r="H1" s="54" t="s">
        <v>329</v>
      </c>
      <c r="K1" s="40" t="str">
        <f>"Structure of "&amp;Charts!O2&amp;" in "&amp;Charts!U2</f>
        <v>Structure of Equity&amp;Liabilities in 2023</v>
      </c>
    </row>
    <row r="2" spans="1:36" x14ac:dyDescent="0.3">
      <c r="D2" s="71" t="s">
        <v>265</v>
      </c>
      <c r="E2" s="71" t="s">
        <v>266</v>
      </c>
      <c r="F2" s="71" t="s">
        <v>270</v>
      </c>
      <c r="G2" s="71" t="s">
        <v>271</v>
      </c>
      <c r="H2" s="71" t="s">
        <v>330</v>
      </c>
      <c r="L2" s="54" t="s">
        <v>149</v>
      </c>
      <c r="M2" s="53" t="s">
        <v>122</v>
      </c>
      <c r="O2" s="53" t="s">
        <v>123</v>
      </c>
      <c r="Y2" s="53" t="s">
        <v>125</v>
      </c>
    </row>
    <row r="3" spans="1:36" x14ac:dyDescent="0.3">
      <c r="B3" s="44"/>
      <c r="C3" s="44"/>
      <c r="D3" s="44">
        <f>Data_Interim!L3</f>
        <v>0</v>
      </c>
      <c r="E3" s="44">
        <f>Data_Interim!M3</f>
        <v>0</v>
      </c>
      <c r="F3" s="44">
        <f>Data_Interim!N3</f>
        <v>2021</v>
      </c>
      <c r="G3" s="44">
        <f>Data_Interim!O3</f>
        <v>2022</v>
      </c>
      <c r="H3" s="44">
        <f>Data_Interim!P3</f>
        <v>2023</v>
      </c>
      <c r="K3" s="103">
        <v>2023</v>
      </c>
      <c r="L3" s="40">
        <f>H9</f>
        <v>2023</v>
      </c>
      <c r="M3" s="53" t="s">
        <v>8</v>
      </c>
      <c r="O3" s="53" t="s">
        <v>120</v>
      </c>
      <c r="Q3" s="40">
        <v>1</v>
      </c>
      <c r="R3" s="40" t="s">
        <v>121</v>
      </c>
      <c r="S3" s="40" t="s">
        <v>8</v>
      </c>
      <c r="T3" s="40" t="str">
        <f>IF(R3=$A$8,Q3,"")</f>
        <v/>
      </c>
      <c r="U3" s="40">
        <f>SMALL($T$3:$T$10,ROWS(T3:$T$3))</f>
        <v>7</v>
      </c>
      <c r="V3" s="40" t="str">
        <f>VLOOKUP(U3,$Q$3:$S$10,3,0)</f>
        <v>Total liabilities</v>
      </c>
      <c r="X3" s="40" t="s">
        <v>8</v>
      </c>
      <c r="Y3" s="53" t="s">
        <v>126</v>
      </c>
      <c r="AB3" s="40">
        <v>1</v>
      </c>
      <c r="AC3" s="40" t="s">
        <v>126</v>
      </c>
      <c r="AD3" s="40" t="s">
        <v>2</v>
      </c>
      <c r="AE3" s="40" t="str">
        <f>IF(AC3=Charts!$G$20,hiddenPage!AB3,"")</f>
        <v/>
      </c>
      <c r="AF3" s="40">
        <f>SMALL($AE$3:$AE$27,ROWS($AE3:AE$3))</f>
        <v>8</v>
      </c>
      <c r="AG3" s="40" t="str">
        <f>IF(ISERROR(VLOOKUP(AF3,$AB$3:$AD$30,3,0)),"",VLOOKUP(AF3,$AB$3:$AD$30,3,0))</f>
        <v>Current inventories</v>
      </c>
      <c r="AH3" s="45" t="e">
        <f>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C:C)+SUMIF('1.FinancialPosition'!B:B,hiddenPage!AG3,'1.FinancialPosition'!D:D)+SUMIF('1.FinancialPosition'!B:B,hiddenPage!AG3,'1.FinancialPosition'!E:E)</f>
        <v>#REF!</v>
      </c>
      <c r="AI3" s="60" t="e">
        <f>LARGE($AH$3:$AH$13,ROWS(AG3:$AG$3))</f>
        <v>#REF!</v>
      </c>
      <c r="AJ3" s="40" t="e">
        <f t="shared" ref="AJ3:AJ13" si="0">INDEX(AG:AG,MATCH(AI3,AH:AH,0))</f>
        <v>#REF!</v>
      </c>
    </row>
    <row r="4" spans="1:36" x14ac:dyDescent="0.3">
      <c r="A4" s="43" t="str">
        <f>Charts!G2</f>
        <v>Total current liabilities</v>
      </c>
      <c r="B4" s="45"/>
      <c r="C4" s="45"/>
      <c r="D4" s="45" t="e">
        <f>SUMIF('1.FinancialPosition'!$B:$B,$A4,'1.FinancialPosition'!#REF!)</f>
        <v>#REF!</v>
      </c>
      <c r="E4" s="45" t="e">
        <f>SUMIF('1.FinancialPosition'!$B:$B,$A4,'1.FinancialPosition'!#REF!)</f>
        <v>#REF!</v>
      </c>
      <c r="F4" s="45">
        <f>SUMIF('1.FinancialPosition'!$B:$B,$A4,'1.FinancialPosition'!C:C)</f>
        <v>111507663.43184982</v>
      </c>
      <c r="G4" s="45">
        <f>SUMIF('1.FinancialPosition'!$B:$B,$A4,'1.FinancialPosition'!D:D)</f>
        <v>141694421.28184986</v>
      </c>
      <c r="H4" s="45">
        <f>SUMIF('1.FinancialPosition'!$B:$B,$A4,'1.FinancialPosition'!E:E)</f>
        <v>104958049.41862017</v>
      </c>
      <c r="L4" s="40">
        <f>G9</f>
        <v>2022</v>
      </c>
      <c r="M4" s="53" t="s">
        <v>16</v>
      </c>
      <c r="O4" s="53" t="s">
        <v>121</v>
      </c>
      <c r="Q4" s="40">
        <v>2</v>
      </c>
      <c r="R4" s="40" t="s">
        <v>121</v>
      </c>
      <c r="S4" s="40" t="s">
        <v>16</v>
      </c>
      <c r="T4" s="40" t="str">
        <f t="shared" ref="T4:T10" si="1">IF(R4=$A$8,Q4,"")</f>
        <v/>
      </c>
      <c r="U4" s="40">
        <f>SMALL($T$3:$T$10,ROWS(T$3:$T4))</f>
        <v>8</v>
      </c>
      <c r="V4" s="40" t="str">
        <f t="shared" ref="V4:V10" si="2">VLOOKUP(U4,$Q$3:$S$10,3,0)</f>
        <v>Total Equity</v>
      </c>
      <c r="X4" s="40" t="s">
        <v>16</v>
      </c>
      <c r="Y4" s="53" t="s">
        <v>109</v>
      </c>
      <c r="AB4" s="40">
        <f>AB3+1</f>
        <v>2</v>
      </c>
      <c r="AC4" s="40" t="s">
        <v>126</v>
      </c>
      <c r="AD4" s="40" t="s">
        <v>4</v>
      </c>
      <c r="AE4" s="40" t="str">
        <f>IF(AC4=Charts!$G$20,hiddenPage!AB4,"")</f>
        <v/>
      </c>
      <c r="AF4" s="40">
        <f>SMALL($AE$3:$AE$27,ROWS($AE$3:AE4))</f>
        <v>9</v>
      </c>
      <c r="AG4" s="40" t="str">
        <f t="shared" ref="AG4:AG13" si="3">IF(ISERROR(VLOOKUP(AF4,$AB$3:$AD$30,3,0)),"",VLOOKUP(AF4,$AB$3:$AD$30,3,0))</f>
        <v>Trade and other current receivables</v>
      </c>
      <c r="AH4" s="45" t="e">
        <f>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C:C)+SUMIF('1.FinancialPosition'!B:B,hiddenPage!AG4,'1.FinancialPosition'!D:D)+SUMIF('1.FinancialPosition'!B:B,hiddenPage!AG4,'1.FinancialPosition'!E:E)</f>
        <v>#REF!</v>
      </c>
      <c r="AI4" s="60" t="e">
        <f>LARGE($AH$3:$AH$13,ROWS(AG$3:$AG4))</f>
        <v>#REF!</v>
      </c>
      <c r="AJ4" s="40" t="e">
        <f t="shared" si="0"/>
        <v>#REF!</v>
      </c>
    </row>
    <row r="5" spans="1:36" x14ac:dyDescent="0.3">
      <c r="A5" s="43" t="str">
        <f>Charts!G3</f>
        <v>Total current assets</v>
      </c>
      <c r="B5" s="45"/>
      <c r="C5" s="45"/>
      <c r="D5" s="45" t="e">
        <f>SUMIF('1.FinancialPosition'!$B:$B,$A5,'1.FinancialPosition'!#REF!)</f>
        <v>#REF!</v>
      </c>
      <c r="E5" s="45" t="e">
        <f>SUMIF('1.FinancialPosition'!$B:$B,$A5,'1.FinancialPosition'!#REF!)</f>
        <v>#REF!</v>
      </c>
      <c r="F5" s="45">
        <f>SUMIF('1.FinancialPosition'!$B:$B,$A5,'1.FinancialPosition'!C:C)</f>
        <v>115868481.38333496</v>
      </c>
      <c r="G5" s="45">
        <f>SUMIF('1.FinancialPosition'!$B:$B,$A5,'1.FinancialPosition'!D:D)</f>
        <v>148386732.48629877</v>
      </c>
      <c r="H5" s="45">
        <f>SUMIF('1.FinancialPosition'!$B:$B,$A5,'1.FinancialPosition'!E:E)</f>
        <v>170485095.26836845</v>
      </c>
      <c r="L5" s="40">
        <f>F9</f>
        <v>2021</v>
      </c>
      <c r="M5" s="53" t="s">
        <v>18</v>
      </c>
      <c r="O5" s="53" t="s">
        <v>124</v>
      </c>
      <c r="Q5" s="40">
        <v>3</v>
      </c>
      <c r="R5" s="40" t="s">
        <v>120</v>
      </c>
      <c r="S5" s="40" t="s">
        <v>35</v>
      </c>
      <c r="T5" s="40" t="str">
        <f t="shared" si="1"/>
        <v/>
      </c>
      <c r="U5" s="40" t="e">
        <f>SMALL($T$3:$T$10,ROWS(T$3:$T5))</f>
        <v>#NUM!</v>
      </c>
      <c r="V5" s="40" t="e">
        <f t="shared" si="2"/>
        <v>#NUM!</v>
      </c>
      <c r="X5" s="40" t="s">
        <v>35</v>
      </c>
      <c r="Y5" s="53" t="s">
        <v>127</v>
      </c>
      <c r="AB5" s="40">
        <f t="shared" ref="AB5:AB27" si="4">AB4+1</f>
        <v>3</v>
      </c>
      <c r="AC5" s="40" t="s">
        <v>126</v>
      </c>
      <c r="AD5" s="40" t="s">
        <v>199</v>
      </c>
      <c r="AE5" s="40" t="str">
        <f>IF(AC5=Charts!$G$20,hiddenPage!AB5,"")</f>
        <v/>
      </c>
      <c r="AF5" s="40">
        <f>SMALL($AE$3:$AE$27,ROWS($AE$3:AE5))</f>
        <v>10</v>
      </c>
      <c r="AG5" s="40" t="str">
        <f t="shared" si="3"/>
        <v>Other current financial assets</v>
      </c>
      <c r="AH5" s="45" t="e">
        <f>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C:C)+SUMIF('1.FinancialPosition'!B:B,hiddenPage!AG5,'1.FinancialPosition'!D:D)+SUMIF('1.FinancialPosition'!B:B,hiddenPage!AG5,'1.FinancialPosition'!E:E)</f>
        <v>#REF!</v>
      </c>
      <c r="AI5" s="60" t="e">
        <f>LARGE($AH$3:$AH$13,ROWS(AG$3:$AG5))</f>
        <v>#REF!</v>
      </c>
      <c r="AJ5" s="40" t="e">
        <f t="shared" si="0"/>
        <v>#REF!</v>
      </c>
    </row>
    <row r="6" spans="1:36" x14ac:dyDescent="0.3">
      <c r="L6" s="40">
        <f>E9</f>
        <v>0</v>
      </c>
      <c r="M6" s="53" t="s">
        <v>27</v>
      </c>
      <c r="O6" s="53" t="s">
        <v>130</v>
      </c>
      <c r="Q6" s="40">
        <v>4</v>
      </c>
      <c r="R6" s="40" t="s">
        <v>120</v>
      </c>
      <c r="S6" s="40" t="s">
        <v>39</v>
      </c>
      <c r="T6" s="40" t="str">
        <f t="shared" si="1"/>
        <v/>
      </c>
      <c r="U6" s="40" t="e">
        <f>SMALL($T$3:$T$10,ROWS(T$3:$T6))</f>
        <v>#NUM!</v>
      </c>
      <c r="V6" s="40" t="e">
        <f t="shared" si="2"/>
        <v>#NUM!</v>
      </c>
      <c r="X6" s="40" t="s">
        <v>39</v>
      </c>
      <c r="Y6" s="53" t="s">
        <v>128</v>
      </c>
      <c r="AB6" s="40">
        <f t="shared" si="4"/>
        <v>4</v>
      </c>
      <c r="AC6" s="40" t="s">
        <v>126</v>
      </c>
      <c r="AD6" s="40" t="s">
        <v>165</v>
      </c>
      <c r="AE6" s="40" t="str">
        <f>IF(AC6=Charts!$G$20,hiddenPage!AB6,"")</f>
        <v/>
      </c>
      <c r="AF6" s="40">
        <f>SMALL($AE$3:$AE$27,ROWS($AE$3:AE6))</f>
        <v>11</v>
      </c>
      <c r="AG6" s="40" t="str">
        <f t="shared" si="3"/>
        <v>Other current non-financial assets</v>
      </c>
      <c r="AH6" s="45" t="e">
        <f>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C:C)+SUMIF('1.FinancialPosition'!B:B,hiddenPage!AG6,'1.FinancialPosition'!D:D)+SUMIF('1.FinancialPosition'!B:B,hiddenPage!AG6,'1.FinancialPosition'!E:E)</f>
        <v>#REF!</v>
      </c>
      <c r="AI6" s="60" t="e">
        <f>LARGE($AH$3:$AH$13,ROWS(AG$3:$AG6))</f>
        <v>#REF!</v>
      </c>
      <c r="AJ6" s="40" t="e">
        <f t="shared" si="0"/>
        <v>#REF!</v>
      </c>
    </row>
    <row r="7" spans="1:36" x14ac:dyDescent="0.3">
      <c r="A7" s="42" t="str">
        <f>A10&amp;" vs. "&amp;A11</f>
        <v>Total liabilities vs. Total Equity</v>
      </c>
      <c r="B7" s="42"/>
      <c r="C7" s="42"/>
      <c r="D7" s="41" t="str">
        <f>"Structure of "&amp;A8&amp;" as at "&amp;" Septembe G4 r"&amp;I9</f>
        <v>Structure of Equity&amp;Liabilities as at  Septembe G4 r2023</v>
      </c>
      <c r="E7" s="41"/>
      <c r="L7" s="40">
        <f>D9</f>
        <v>0</v>
      </c>
      <c r="M7" s="53" t="s">
        <v>35</v>
      </c>
      <c r="Q7" s="40">
        <v>5</v>
      </c>
      <c r="R7" s="40" t="s">
        <v>124</v>
      </c>
      <c r="S7" s="40" t="s">
        <v>181</v>
      </c>
      <c r="T7" s="40" t="str">
        <f t="shared" si="1"/>
        <v/>
      </c>
      <c r="U7" s="40" t="e">
        <f>SMALL($T$3:$T$10,ROWS(T$3:$T7))</f>
        <v>#NUM!</v>
      </c>
      <c r="V7" s="40" t="e">
        <f t="shared" si="2"/>
        <v>#NUM!</v>
      </c>
      <c r="X7" s="40" t="s">
        <v>27</v>
      </c>
      <c r="Y7" s="53" t="s">
        <v>129</v>
      </c>
      <c r="AB7" s="40">
        <f t="shared" si="4"/>
        <v>5</v>
      </c>
      <c r="AC7" s="40" t="s">
        <v>126</v>
      </c>
      <c r="AD7" s="40" t="s">
        <v>202</v>
      </c>
      <c r="AE7" s="40" t="str">
        <f>IF(AC7=Charts!$G$20,hiddenPage!AB7,"")</f>
        <v/>
      </c>
      <c r="AF7" s="40">
        <f>SMALL($AE$3:$AE$27,ROWS($AE$3:AE7))</f>
        <v>12</v>
      </c>
      <c r="AG7" s="40" t="str">
        <f t="shared" si="3"/>
        <v>Cash and cash equivalents</v>
      </c>
      <c r="AH7" s="45" t="e">
        <f>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C:C)+SUMIF('1.FinancialPosition'!B:B,hiddenPage!AG7,'1.FinancialPosition'!D:D)+SUMIF('1.FinancialPosition'!B:B,hiddenPage!AG7,'1.FinancialPosition'!E:E)</f>
        <v>#REF!</v>
      </c>
      <c r="AI7" s="60" t="e">
        <f>LARGE($AH$3:$AH$13,ROWS(AG$3:$AG7))</f>
        <v>#REF!</v>
      </c>
      <c r="AJ7" s="40" t="e">
        <f t="shared" si="0"/>
        <v>#REF!</v>
      </c>
    </row>
    <row r="8" spans="1:36" x14ac:dyDescent="0.3">
      <c r="A8" s="40" t="str">
        <f>Charts!O2</f>
        <v>Equity&amp;Liabilities</v>
      </c>
      <c r="B8" s="40">
        <f>IF(B9=Charts!$U$2,1,0)</f>
        <v>0</v>
      </c>
      <c r="C8" s="40">
        <f>IF(C9=Charts!$U$2,1,0)</f>
        <v>0</v>
      </c>
      <c r="D8" s="40">
        <f>IF(D9=Charts!$U$2,1,0)</f>
        <v>0</v>
      </c>
      <c r="E8" s="40">
        <f>IF(E9=Charts!$U$2,1,0)</f>
        <v>0</v>
      </c>
      <c r="F8" s="40">
        <f>IF(F9=Charts!$U$2,1,0)</f>
        <v>0</v>
      </c>
      <c r="G8" s="40">
        <f>IF(G9=Charts!$U$2,1,0)</f>
        <v>0</v>
      </c>
      <c r="H8" s="40">
        <f>IF(H9=Charts!$U$2,1,0)</f>
        <v>1</v>
      </c>
      <c r="M8" s="53" t="s">
        <v>39</v>
      </c>
      <c r="Q8" s="40">
        <v>6</v>
      </c>
      <c r="R8" s="40" t="s">
        <v>124</v>
      </c>
      <c r="S8" s="40" t="s">
        <v>177</v>
      </c>
      <c r="T8" s="40" t="str">
        <f t="shared" si="1"/>
        <v/>
      </c>
      <c r="U8" s="40" t="e">
        <f>SMALL($T$3:$T$10,ROWS(T$3:$T8))</f>
        <v>#NUM!</v>
      </c>
      <c r="V8" s="40" t="e">
        <f t="shared" si="2"/>
        <v>#NUM!</v>
      </c>
      <c r="AB8" s="40">
        <f t="shared" si="4"/>
        <v>6</v>
      </c>
      <c r="AC8" s="40" t="s">
        <v>126</v>
      </c>
      <c r="AD8" s="40" t="s">
        <v>166</v>
      </c>
      <c r="AE8" s="40" t="str">
        <f>IF(AC8=Charts!$G$20,hiddenPage!AB8,"")</f>
        <v/>
      </c>
      <c r="AF8" s="40">
        <f>SMALL($AE$3:$AE$27,ROWS($AE$3:AE8))</f>
        <v>13</v>
      </c>
      <c r="AG8" s="40" t="str">
        <f t="shared" si="3"/>
        <v>Non-current assets or disposal groups classified as held for sale or as held for distribution to owners</v>
      </c>
      <c r="AH8" s="45" t="e">
        <f>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C:C)+SUMIF('1.FinancialPosition'!B:B,hiddenPage!AG8,'1.FinancialPosition'!D:D)+SUMIF('1.FinancialPosition'!B:B,hiddenPage!AG8,'1.FinancialPosition'!E:E)</f>
        <v>#REF!</v>
      </c>
      <c r="AI8" s="60" t="e">
        <f>LARGE($AH$3:$AH$13,ROWS(AG$3:$AG8))</f>
        <v>#REF!</v>
      </c>
      <c r="AJ8" s="40" t="e">
        <f t="shared" si="0"/>
        <v>#REF!</v>
      </c>
    </row>
    <row r="9" spans="1:36" x14ac:dyDescent="0.3">
      <c r="B9" s="44"/>
      <c r="C9" s="44"/>
      <c r="D9" s="44">
        <f>D3</f>
        <v>0</v>
      </c>
      <c r="E9" s="44">
        <f t="shared" ref="E9:H9" si="5">E3</f>
        <v>0</v>
      </c>
      <c r="F9" s="44">
        <f t="shared" si="5"/>
        <v>2021</v>
      </c>
      <c r="G9" s="44">
        <f t="shared" si="5"/>
        <v>2022</v>
      </c>
      <c r="H9" s="44">
        <f t="shared" si="5"/>
        <v>2023</v>
      </c>
      <c r="I9" s="44">
        <f>Charts!G21</f>
        <v>2023</v>
      </c>
      <c r="M9" s="53" t="s">
        <v>41</v>
      </c>
      <c r="Q9" s="40">
        <v>7</v>
      </c>
      <c r="R9" s="40" t="s">
        <v>130</v>
      </c>
      <c r="S9" s="40" t="s">
        <v>41</v>
      </c>
      <c r="T9" s="40">
        <f t="shared" si="1"/>
        <v>7</v>
      </c>
      <c r="U9" s="40" t="e">
        <f>SMALL($T$3:$T$10,ROWS(T$3:$T9))</f>
        <v>#NUM!</v>
      </c>
      <c r="V9" s="40" t="e">
        <f t="shared" si="2"/>
        <v>#NUM!</v>
      </c>
      <c r="AB9" s="40">
        <f t="shared" si="4"/>
        <v>7</v>
      </c>
      <c r="AC9" s="40" t="s">
        <v>126</v>
      </c>
      <c r="AD9" s="40" t="s">
        <v>205</v>
      </c>
      <c r="AE9" s="40" t="str">
        <f>IF(AC9=Charts!$G$20,hiddenPage!AB9,"")</f>
        <v/>
      </c>
      <c r="AF9" s="40" t="e">
        <f>SMALL($AE$3:$AE$27,ROWS($AE$3:AE9))</f>
        <v>#NUM!</v>
      </c>
      <c r="AG9" s="40" t="str">
        <f t="shared" si="3"/>
        <v/>
      </c>
      <c r="AH9" s="45" t="e">
        <f>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C:C)+SUMIF('1.FinancialPosition'!B:B,hiddenPage!AG9,'1.FinancialPosition'!D:D)+SUMIF('1.FinancialPosition'!B:B,hiddenPage!AG9,'1.FinancialPosition'!E:E)</f>
        <v>#REF!</v>
      </c>
      <c r="AI9" s="60" t="e">
        <f>LARGE($AH$3:$AH$13,ROWS(AG$3:$AG9))</f>
        <v>#REF!</v>
      </c>
      <c r="AJ9" s="40" t="e">
        <f t="shared" si="0"/>
        <v>#REF!</v>
      </c>
    </row>
    <row r="10" spans="1:36" x14ac:dyDescent="0.3">
      <c r="A10" s="43" t="str">
        <f>V3</f>
        <v>Total liabilities</v>
      </c>
      <c r="B10" s="45"/>
      <c r="C10" s="45"/>
      <c r="D10" s="45" t="e">
        <f>SUMIF('1.FinancialPosition'!$B:$B,$A10,'1.FinancialPosition'!#REF!)</f>
        <v>#REF!</v>
      </c>
      <c r="E10" s="45" t="e">
        <f>SUMIF('1.FinancialPosition'!$B:$B,$A10,'1.FinancialPosition'!#REF!)</f>
        <v>#REF!</v>
      </c>
      <c r="F10" s="45">
        <f>SUMIF('1.FinancialPosition'!$B:$B,$A10,'1.FinancialPosition'!C:C)</f>
        <v>154898460.11184981</v>
      </c>
      <c r="G10" s="45">
        <f>SUMIF('1.FinancialPosition'!$B:$B,$A10,'1.FinancialPosition'!D:D)</f>
        <v>171299687.52184987</v>
      </c>
      <c r="H10" s="45">
        <f>SUMIF('1.FinancialPosition'!$B:$B,$A10,'1.FinancialPosition'!E:E)</f>
        <v>130377387.57184985</v>
      </c>
      <c r="I10" s="100">
        <f>SUMPRODUCT(F10:H10,$F$8:$H$8)</f>
        <v>130377387.57184985</v>
      </c>
      <c r="M10" s="53" t="s">
        <v>43</v>
      </c>
      <c r="Q10" s="40">
        <v>8</v>
      </c>
      <c r="R10" s="40" t="s">
        <v>130</v>
      </c>
      <c r="S10" s="40" t="s">
        <v>27</v>
      </c>
      <c r="T10" s="40">
        <f t="shared" si="1"/>
        <v>8</v>
      </c>
      <c r="U10" s="40" t="e">
        <f>SMALL($T$3:$T$10,ROWS(T$3:$T10))</f>
        <v>#NUM!</v>
      </c>
      <c r="V10" s="40" t="e">
        <f t="shared" si="2"/>
        <v>#NUM!</v>
      </c>
      <c r="AB10" s="40">
        <f t="shared" si="4"/>
        <v>8</v>
      </c>
      <c r="AC10" s="40" t="s">
        <v>109</v>
      </c>
      <c r="AD10" s="40" t="s">
        <v>169</v>
      </c>
      <c r="AE10" s="40">
        <f>IF(AC10=Charts!$G$20,hiddenPage!AB10,"")</f>
        <v>8</v>
      </c>
      <c r="AF10" s="40" t="e">
        <f>SMALL($AE$3:$AE$27,ROWS($AE$3:AE10))</f>
        <v>#NUM!</v>
      </c>
      <c r="AG10" s="40" t="str">
        <f t="shared" si="3"/>
        <v/>
      </c>
      <c r="AH10" s="45" t="e">
        <f>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C:C)+SUMIF('1.FinancialPosition'!B:B,hiddenPage!AG10,'1.FinancialPosition'!D:D)+SUMIF('1.FinancialPosition'!B:B,hiddenPage!AG10,'1.FinancialPosition'!E:E)</f>
        <v>#REF!</v>
      </c>
      <c r="AI10" s="60" t="e">
        <f>LARGE($AH$3:$AH$13,ROWS(AG$3:$AG10))</f>
        <v>#REF!</v>
      </c>
      <c r="AJ10" s="40" t="e">
        <f t="shared" si="0"/>
        <v>#REF!</v>
      </c>
    </row>
    <row r="11" spans="1:36" x14ac:dyDescent="0.3">
      <c r="A11" s="43" t="str">
        <f>V4</f>
        <v>Total Equity</v>
      </c>
      <c r="B11" s="45"/>
      <c r="C11" s="45"/>
      <c r="D11" s="45" t="e">
        <f>SUMIF('1.FinancialPosition'!$B:$B,$A11,'1.FinancialPosition'!#REF!)</f>
        <v>#REF!</v>
      </c>
      <c r="E11" s="45" t="e">
        <f>SUMIF('1.FinancialPosition'!$B:$B,$A11,'1.FinancialPosition'!#REF!)</f>
        <v>#REF!</v>
      </c>
      <c r="F11" s="45">
        <f>SUMIF('1.FinancialPosition'!$B:$B,$A11,'1.FinancialPosition'!C:C)</f>
        <v>140351897.00104311</v>
      </c>
      <c r="G11" s="45">
        <f>SUMIF('1.FinancialPosition'!$B:$B,$A11,'1.FinancialPosition'!D:D)</f>
        <v>143437963.1610069</v>
      </c>
      <c r="H11" s="45">
        <f>SUMIF('1.FinancialPosition'!$B:$B,$A11,'1.FinancialPosition'!E:E)</f>
        <v>172675743.60079348</v>
      </c>
      <c r="I11" s="100">
        <f>SUMPRODUCT(F11:H11,$F$8:$H$8)</f>
        <v>172675743.60079348</v>
      </c>
      <c r="M11" s="53" t="s">
        <v>181</v>
      </c>
      <c r="AB11" s="40">
        <f t="shared" si="4"/>
        <v>9</v>
      </c>
      <c r="AC11" s="40" t="s">
        <v>109</v>
      </c>
      <c r="AD11" s="40" t="s">
        <v>170</v>
      </c>
      <c r="AE11" s="40">
        <f>IF(AC11=Charts!$G$20,hiddenPage!AB11,"")</f>
        <v>9</v>
      </c>
      <c r="AF11" s="40" t="e">
        <f>SMALL($AE$3:$AE$27,ROWS($AE$3:AE11))</f>
        <v>#NUM!</v>
      </c>
      <c r="AG11" s="40" t="str">
        <f t="shared" si="3"/>
        <v/>
      </c>
      <c r="AH11" s="45" t="e">
        <f>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C:C)+SUMIF('1.FinancialPosition'!B:B,hiddenPage!AG11,'1.FinancialPosition'!D:D)+SUMIF('1.FinancialPosition'!B:B,hiddenPage!AG11,'1.FinancialPosition'!E:E)</f>
        <v>#REF!</v>
      </c>
      <c r="AI11" s="60" t="e">
        <f>LARGE($AH$3:$AH$13,ROWS(AG$3:$AG11))</f>
        <v>#REF!</v>
      </c>
      <c r="AJ11" s="40" t="e">
        <f t="shared" si="0"/>
        <v>#REF!</v>
      </c>
    </row>
    <row r="12" spans="1:36" x14ac:dyDescent="0.3">
      <c r="A12" s="40" t="str">
        <f>"Total "&amp;Charts!O2</f>
        <v>Total Equity&amp;Liabilities</v>
      </c>
      <c r="D12" s="56" t="e">
        <f>D10+D11</f>
        <v>#REF!</v>
      </c>
      <c r="E12" s="56" t="e">
        <f t="shared" ref="E12:H12" si="6">E10+E11</f>
        <v>#REF!</v>
      </c>
      <c r="F12" s="56">
        <f t="shared" si="6"/>
        <v>295250357.11289293</v>
      </c>
      <c r="G12" s="56">
        <f t="shared" si="6"/>
        <v>314737650.6828568</v>
      </c>
      <c r="H12" s="56">
        <f t="shared" si="6"/>
        <v>303053131.1726433</v>
      </c>
      <c r="M12" s="53" t="s">
        <v>177</v>
      </c>
      <c r="AB12" s="40">
        <f t="shared" si="4"/>
        <v>10</v>
      </c>
      <c r="AC12" s="40" t="s">
        <v>109</v>
      </c>
      <c r="AD12" s="40" t="s">
        <v>171</v>
      </c>
      <c r="AE12" s="40">
        <f>IF(AC12=Charts!$G$20,hiddenPage!AB12,"")</f>
        <v>10</v>
      </c>
      <c r="AF12" s="40" t="e">
        <f>SMALL($AE$3:$AE$27,ROWS($AE$3:AE12))</f>
        <v>#NUM!</v>
      </c>
      <c r="AG12" s="40" t="str">
        <f t="shared" si="3"/>
        <v/>
      </c>
      <c r="AH12" s="45" t="e">
        <f>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C:C)+SUMIF('1.FinancialPosition'!B:B,hiddenPage!AG12,'1.FinancialPosition'!D:D)+SUMIF('1.FinancialPosition'!B:B,hiddenPage!AG12,'1.FinancialPosition'!E:E)</f>
        <v>#REF!</v>
      </c>
      <c r="AI12" s="60" t="e">
        <f>LARGE($AH$3:$AH$13,ROWS(AG$3:$AG12))</f>
        <v>#REF!</v>
      </c>
      <c r="AJ12" s="40" t="e">
        <f t="shared" si="0"/>
        <v>#REF!</v>
      </c>
    </row>
    <row r="13" spans="1:36" x14ac:dyDescent="0.3">
      <c r="A13" s="40" t="str">
        <f>"Structure of "&amp;Charts!G20&amp;" as at "&amp;" 31 March "&amp;I9</f>
        <v>Structure of Current assets as at  31 March 2023</v>
      </c>
      <c r="AB13" s="40">
        <f t="shared" si="4"/>
        <v>11</v>
      </c>
      <c r="AC13" s="40" t="s">
        <v>109</v>
      </c>
      <c r="AD13" s="40" t="s">
        <v>172</v>
      </c>
      <c r="AE13" s="40">
        <f>IF(AC13=Charts!$G$20,hiddenPage!AB13,"")</f>
        <v>11</v>
      </c>
      <c r="AF13" s="40" t="e">
        <f>SMALL($AE$3:$AE$27,ROWS($AE$3:AE13))</f>
        <v>#NUM!</v>
      </c>
      <c r="AG13" s="40" t="str">
        <f t="shared" si="3"/>
        <v/>
      </c>
      <c r="AH13" s="45" t="e">
        <f>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C:C)+SUMIF('1.FinancialPosition'!B:B,hiddenPage!AG13,'1.FinancialPosition'!D:D)+SUMIF('1.FinancialPosition'!B:B,hiddenPage!AG13,'1.FinancialPosition'!E:E)</f>
        <v>#REF!</v>
      </c>
      <c r="AI13" s="60" t="e">
        <f>LARGE($AH$3:$AH$13,ROWS(AG$3:$AG13))</f>
        <v>#REF!</v>
      </c>
      <c r="AJ13" s="40" t="e">
        <f t="shared" si="0"/>
        <v>#REF!</v>
      </c>
    </row>
    <row r="14" spans="1:36" x14ac:dyDescent="0.3">
      <c r="B14" s="40">
        <f>IF(Charts!$G$21=B15,1,0)</f>
        <v>0</v>
      </c>
      <c r="C14" s="40">
        <f>IF(Charts!$G$21=C15,1,0)</f>
        <v>0</v>
      </c>
      <c r="D14" s="40">
        <f>IF(Charts!$G$21=D15,1,0)</f>
        <v>0</v>
      </c>
      <c r="E14" s="40">
        <f>IF(Charts!$G$21=E15,1,0)</f>
        <v>0</v>
      </c>
      <c r="F14" s="40">
        <f>IF(Charts!$G$21=F15,1,0)</f>
        <v>0</v>
      </c>
      <c r="G14" s="40">
        <f>IF(Charts!$G$21=G15,1,0)</f>
        <v>0</v>
      </c>
      <c r="H14" s="40">
        <f>IF(Charts!$G$21=H15,1,0)</f>
        <v>1</v>
      </c>
      <c r="AB14" s="40">
        <f t="shared" si="4"/>
        <v>12</v>
      </c>
      <c r="AC14" s="40" t="s">
        <v>109</v>
      </c>
      <c r="AD14" s="40" t="s">
        <v>173</v>
      </c>
      <c r="AE14" s="40">
        <f>IF(AC14=Charts!$G$20,hiddenPage!AB14,"")</f>
        <v>12</v>
      </c>
      <c r="AF14" s="40" t="e">
        <f>SMALL($AE$3:$AE$27,ROWS($AE$3:AE14))</f>
        <v>#NUM!</v>
      </c>
      <c r="AH14" s="45"/>
      <c r="AI14" s="60"/>
    </row>
    <row r="15" spans="1:36" x14ac:dyDescent="0.3">
      <c r="A15" s="42"/>
      <c r="B15" s="61"/>
      <c r="C15" s="61"/>
      <c r="D15" s="61"/>
      <c r="E15" s="61"/>
      <c r="F15" s="61">
        <f t="shared" ref="F15:H15" si="7">F3</f>
        <v>2021</v>
      </c>
      <c r="G15" s="61">
        <f t="shared" si="7"/>
        <v>2022</v>
      </c>
      <c r="H15" s="61">
        <f t="shared" si="7"/>
        <v>2023</v>
      </c>
      <c r="I15" s="54" t="s">
        <v>137</v>
      </c>
      <c r="J15" s="54" t="s">
        <v>138</v>
      </c>
      <c r="K15" s="54"/>
      <c r="L15" s="54"/>
      <c r="M15" s="53" t="s">
        <v>139</v>
      </c>
      <c r="N15" s="54"/>
      <c r="O15" s="22" t="s">
        <v>140</v>
      </c>
      <c r="P15" s="22"/>
      <c r="Q15" s="22"/>
      <c r="R15" s="22" t="s">
        <v>141</v>
      </c>
      <c r="S15" s="22" t="s">
        <v>142</v>
      </c>
      <c r="AB15" s="40">
        <f t="shared" si="4"/>
        <v>13</v>
      </c>
      <c r="AC15" s="40" t="s">
        <v>109</v>
      </c>
      <c r="AD15" s="40" t="s">
        <v>168</v>
      </c>
      <c r="AE15" s="40">
        <f>IF(AC15=Charts!$G$20,hiddenPage!AB15,"")</f>
        <v>13</v>
      </c>
      <c r="AF15" s="40" t="e">
        <f>SMALL($AE$3:$AE$27,ROWS($AE$3:AE15))</f>
        <v>#NUM!</v>
      </c>
      <c r="AG15" s="40" t="str">
        <f>IF(ISERROR(VLOOKUP(AF15,$AB$3:$AD$30,3,0)),"",VLOOKUP(AF15,$AB$3:$AD$30,3,0))</f>
        <v/>
      </c>
    </row>
    <row r="16" spans="1:36" x14ac:dyDescent="0.3">
      <c r="A16" s="42" t="str">
        <f>AG3</f>
        <v>Current inventories</v>
      </c>
      <c r="B16" s="62"/>
      <c r="C16" s="62"/>
      <c r="D16" s="62"/>
      <c r="E16" s="62"/>
      <c r="F16" s="62">
        <f>SUMIF('1.FinancialPosition'!$B:$B,$A16,'1.FinancialPosition'!C:C)</f>
        <v>51489374.047697023</v>
      </c>
      <c r="G16" s="62">
        <f>SUMIF('1.FinancialPosition'!$B:$B,$A16,'1.FinancialPosition'!D:D)</f>
        <v>68112688.748225853</v>
      </c>
      <c r="H16" s="62">
        <f>SUMIF('1.FinancialPosition'!$B:$B,$A16,'1.FinancialPosition'!E:E)</f>
        <v>62075651.439672515</v>
      </c>
      <c r="I16" s="63">
        <f>SUMPRODUCT($F$14:$H$14,F16:H16)</f>
        <v>62075651.439672515</v>
      </c>
      <c r="J16" s="64">
        <f>RANK(I16,$I$16:$I$22,0)+COUNTIF($I16:I$22,I16)-1</f>
        <v>2</v>
      </c>
      <c r="K16" s="54"/>
      <c r="L16" s="54"/>
      <c r="M16" s="53">
        <v>1</v>
      </c>
      <c r="N16" s="54"/>
      <c r="O16" s="22" t="str">
        <f>INDEX($A$16:$A$22,MATCH(M16,$J$16:$J$22,0))</f>
        <v>Trade and other current receivables</v>
      </c>
      <c r="P16" s="22"/>
      <c r="Q16" s="22"/>
      <c r="R16" s="65">
        <f>SUMIF($A$16:$A$22,O16,$I$16:$I$22)</f>
        <v>63291252.495505944</v>
      </c>
      <c r="S16" s="66">
        <f>R16/$R$23</f>
        <v>0.37124214522023913</v>
      </c>
      <c r="AB16" s="40">
        <f t="shared" si="4"/>
        <v>14</v>
      </c>
      <c r="AC16" s="40" t="s">
        <v>129</v>
      </c>
      <c r="AD16" s="40" t="s">
        <v>20</v>
      </c>
      <c r="AE16" s="40" t="str">
        <f>IF(AC16=Charts!$G$20,hiddenPage!AB16,"")</f>
        <v/>
      </c>
      <c r="AF16" s="40" t="e">
        <f>SMALL($AE$3:$AE$27,ROWS($AE$3:AE16))</f>
        <v>#NUM!</v>
      </c>
    </row>
    <row r="17" spans="1:32" x14ac:dyDescent="0.3">
      <c r="A17" s="42" t="str">
        <f t="shared" ref="A17:A22" si="8">AG4</f>
        <v>Trade and other current receivables</v>
      </c>
      <c r="B17" s="62"/>
      <c r="C17" s="62"/>
      <c r="D17" s="62"/>
      <c r="E17" s="62"/>
      <c r="F17" s="62">
        <f>SUMIF('1.FinancialPosition'!$B:$B,$A17,'1.FinancialPosition'!C:C)</f>
        <v>48244633.655505948</v>
      </c>
      <c r="G17" s="62">
        <f>SUMIF('1.FinancialPosition'!$B:$B,$A17,'1.FinancialPosition'!D:D)</f>
        <v>61094947.985505939</v>
      </c>
      <c r="H17" s="62">
        <f>SUMIF('1.FinancialPosition'!$B:$B,$A17,'1.FinancialPosition'!E:E)</f>
        <v>63291252.495505944</v>
      </c>
      <c r="I17" s="63">
        <f t="shared" ref="I17:I21" si="9">SUMPRODUCT($F$14:$H$14,F17:H17)</f>
        <v>63291252.495505944</v>
      </c>
      <c r="J17" s="64">
        <f>RANK(I17,$I$16:$I$22,0)+COUNTIF($I17:I$22,I17)-1</f>
        <v>1</v>
      </c>
      <c r="K17" s="54"/>
      <c r="L17" s="54"/>
      <c r="M17" s="53">
        <v>2</v>
      </c>
      <c r="N17" s="54"/>
      <c r="O17" s="22" t="str">
        <f t="shared" ref="O17:O22" si="10">INDEX($A$16:$A$22,MATCH(M17,$J$16:$J$22,0))</f>
        <v>Current inventories</v>
      </c>
      <c r="P17" s="22"/>
      <c r="Q17" s="22"/>
      <c r="R17" s="65">
        <f t="shared" ref="R17:R22" si="11">SUMIF($A$16:$A$22,O17,$I$16:$I$22)</f>
        <v>62075651.439672515</v>
      </c>
      <c r="S17" s="66">
        <f t="shared" ref="S17:S22" si="12">R17/$R$23</f>
        <v>0.36411189694885859</v>
      </c>
      <c r="AB17" s="40">
        <f t="shared" si="4"/>
        <v>15</v>
      </c>
      <c r="AC17" s="40" t="s">
        <v>129</v>
      </c>
      <c r="AD17" s="40" t="s">
        <v>22</v>
      </c>
      <c r="AE17" s="40" t="str">
        <f>IF(AC17=Charts!$G$20,hiddenPage!AB17,"")</f>
        <v/>
      </c>
      <c r="AF17" s="40" t="e">
        <f>SMALL($AE$3:$AE$27,ROWS($AE$3:AE17))</f>
        <v>#NUM!</v>
      </c>
    </row>
    <row r="18" spans="1:32" x14ac:dyDescent="0.3">
      <c r="A18" s="42" t="str">
        <f t="shared" si="8"/>
        <v>Other current financial assets</v>
      </c>
      <c r="B18" s="62"/>
      <c r="C18" s="62"/>
      <c r="D18" s="62"/>
      <c r="E18" s="62"/>
      <c r="F18" s="62">
        <f>SUMIF('1.FinancialPosition'!$B:$B,$A18,'1.FinancialPosition'!C:C)</f>
        <v>181333.53999999986</v>
      </c>
      <c r="G18" s="62">
        <f>SUMIF('1.FinancialPosition'!$B:$B,$A18,'1.FinancialPosition'!D:D)</f>
        <v>169077.56000000003</v>
      </c>
      <c r="H18" s="62">
        <f>SUMIF('1.FinancialPosition'!$B:$B,$A18,'1.FinancialPosition'!E:E)</f>
        <v>-0.47000000020489097</v>
      </c>
      <c r="I18" s="63">
        <f t="shared" si="9"/>
        <v>-0.47000000020489097</v>
      </c>
      <c r="J18" s="64">
        <f>RANK(I18,$I$16:$I$22,0)+COUNTIF($I18:I$22,I18)-1</f>
        <v>7</v>
      </c>
      <c r="K18" s="54"/>
      <c r="L18" s="54"/>
      <c r="M18" s="53">
        <v>3</v>
      </c>
      <c r="N18" s="54"/>
      <c r="O18" s="22" t="str">
        <f t="shared" si="10"/>
        <v>Cash and cash equivalents</v>
      </c>
      <c r="P18" s="22"/>
      <c r="Q18" s="22"/>
      <c r="R18" s="65">
        <f t="shared" si="11"/>
        <v>42425778.736639999</v>
      </c>
      <c r="S18" s="66">
        <f t="shared" si="12"/>
        <v>0.24885330104579304</v>
      </c>
      <c r="AB18" s="40">
        <f t="shared" si="4"/>
        <v>16</v>
      </c>
      <c r="AC18" s="40" t="s">
        <v>129</v>
      </c>
      <c r="AD18" s="40" t="s">
        <v>174</v>
      </c>
      <c r="AE18" s="40" t="str">
        <f>IF(AC18=Charts!$G$20,hiddenPage!AB18,"")</f>
        <v/>
      </c>
      <c r="AF18" s="40" t="e">
        <f>SMALL($AE$3:$AE$27,ROWS($AE$3:AE18))</f>
        <v>#NUM!</v>
      </c>
    </row>
    <row r="19" spans="1:32" x14ac:dyDescent="0.3">
      <c r="A19" s="42" t="str">
        <f t="shared" si="8"/>
        <v>Other current non-financial assets</v>
      </c>
      <c r="B19" s="62"/>
      <c r="C19" s="62"/>
      <c r="D19" s="62"/>
      <c r="E19" s="62"/>
      <c r="F19" s="62">
        <f>SUMIF('1.FinancialPosition'!$B:$B,$A19,'1.FinancialPosition'!C:C)</f>
        <v>1134334.22655</v>
      </c>
      <c r="G19" s="62">
        <f>SUMIF('1.FinancialPosition'!$B:$B,$A19,'1.FinancialPosition'!D:D)</f>
        <v>2331595.1665500002</v>
      </c>
      <c r="H19" s="62">
        <f>SUMIF('1.FinancialPosition'!$B:$B,$A19,'1.FinancialPosition'!E:E)</f>
        <v>2692413.0665500001</v>
      </c>
      <c r="I19" s="63">
        <f t="shared" si="9"/>
        <v>2692413.0665500001</v>
      </c>
      <c r="J19" s="64">
        <f>RANK(I19,$I$16:$I$22,0)+COUNTIF($I19:I$22,I19)-1</f>
        <v>4</v>
      </c>
      <c r="K19" s="54"/>
      <c r="L19" s="54"/>
      <c r="M19" s="53">
        <v>4</v>
      </c>
      <c r="N19" s="54"/>
      <c r="O19" s="22" t="str">
        <f t="shared" si="10"/>
        <v>Other current non-financial assets</v>
      </c>
      <c r="P19" s="22"/>
      <c r="Q19" s="22"/>
      <c r="R19" s="65">
        <f t="shared" si="11"/>
        <v>2692413.0665500001</v>
      </c>
      <c r="S19" s="66">
        <f t="shared" si="12"/>
        <v>1.5792659541948511E-2</v>
      </c>
      <c r="AB19" s="40">
        <f t="shared" si="4"/>
        <v>17</v>
      </c>
      <c r="AC19" s="40" t="s">
        <v>129</v>
      </c>
      <c r="AD19" s="40" t="s">
        <v>25</v>
      </c>
      <c r="AE19" s="40" t="str">
        <f>IF(AC19=Charts!$G$20,hiddenPage!AB19,"")</f>
        <v/>
      </c>
      <c r="AF19" s="40" t="e">
        <f>SMALL($AE$3:$AE$27,ROWS($AE$3:AE19))</f>
        <v>#NUM!</v>
      </c>
    </row>
    <row r="20" spans="1:32" x14ac:dyDescent="0.3">
      <c r="A20" s="42" t="str">
        <f t="shared" si="8"/>
        <v>Cash and cash equivalents</v>
      </c>
      <c r="B20" s="62"/>
      <c r="C20" s="62"/>
      <c r="D20" s="62"/>
      <c r="E20" s="62"/>
      <c r="F20" s="62">
        <f>SUMIF('1.FinancialPosition'!$B:$B,$A20,'1.FinancialPosition'!C:C)</f>
        <v>14747960.913582001</v>
      </c>
      <c r="G20" s="62">
        <f>SUMIF('1.FinancialPosition'!$B:$B,$A20,'1.FinancialPosition'!D:D)</f>
        <v>12918268.456017001</v>
      </c>
      <c r="H20" s="62">
        <f>SUMIF('1.FinancialPosition'!$B:$B,$A20,'1.FinancialPosition'!E:E)</f>
        <v>42425778.736639999</v>
      </c>
      <c r="I20" s="63">
        <f t="shared" si="9"/>
        <v>42425778.736639999</v>
      </c>
      <c r="J20" s="64">
        <f>RANK(I20,$I$16:$I$22,0)+COUNTIF($I20:I$22,I20)-1</f>
        <v>3</v>
      </c>
      <c r="K20" s="54"/>
      <c r="L20" s="54"/>
      <c r="M20" s="53">
        <v>5</v>
      </c>
      <c r="N20" s="54"/>
      <c r="O20" s="22" t="str">
        <f t="shared" si="10"/>
        <v/>
      </c>
      <c r="P20" s="22"/>
      <c r="Q20" s="22"/>
      <c r="R20" s="65">
        <f t="shared" si="11"/>
        <v>0</v>
      </c>
      <c r="S20" s="66">
        <f t="shared" si="12"/>
        <v>0</v>
      </c>
      <c r="AB20" s="40">
        <f t="shared" si="4"/>
        <v>18</v>
      </c>
      <c r="AC20" s="40" t="s">
        <v>129</v>
      </c>
      <c r="AD20" s="40" t="s">
        <v>218</v>
      </c>
      <c r="AE20" s="40" t="str">
        <f>IF(AC20=Charts!$G$20,hiddenPage!AB20,"")</f>
        <v/>
      </c>
      <c r="AF20" s="40" t="e">
        <f>SMALL($AE$3:$AE$27,ROWS($AE$3:AE20))</f>
        <v>#NUM!</v>
      </c>
    </row>
    <row r="21" spans="1:32" x14ac:dyDescent="0.3">
      <c r="A21" s="42" t="str">
        <f t="shared" si="8"/>
        <v>Non-current assets or disposal groups classified as held for sale or as held for distribution to owners</v>
      </c>
      <c r="B21" s="62"/>
      <c r="C21" s="62"/>
      <c r="D21" s="62"/>
      <c r="E21" s="62"/>
      <c r="F21" s="62">
        <f>SUMIF('1.FinancialPosition'!$B:$B,$A21,'1.FinancialPosition'!C:C)</f>
        <v>70845</v>
      </c>
      <c r="G21" s="62">
        <f>SUMIF('1.FinancialPosition'!$B:$B,$A21,'1.FinancialPosition'!D:D)</f>
        <v>3760154.57</v>
      </c>
      <c r="H21" s="62">
        <f>SUMIF('1.FinancialPosition'!$B:$B,$A21,'1.FinancialPosition'!E:E)</f>
        <v>0</v>
      </c>
      <c r="I21" s="63">
        <f t="shared" si="9"/>
        <v>0</v>
      </c>
      <c r="J21" s="64">
        <f>RANK(I21,$I$16:$I$22,0)+COUNTIF($I21:I$22,I21)-1</f>
        <v>6</v>
      </c>
      <c r="K21" s="54"/>
      <c r="L21" s="54"/>
      <c r="M21" s="53">
        <v>6</v>
      </c>
      <c r="N21" s="54"/>
      <c r="O21" s="22" t="str">
        <f t="shared" si="10"/>
        <v>Non-current assets or disposal groups classified as held for sale or as held for distribution to owners</v>
      </c>
      <c r="P21" s="22"/>
      <c r="Q21" s="22"/>
      <c r="R21" s="65">
        <f t="shared" si="11"/>
        <v>0</v>
      </c>
      <c r="S21" s="66">
        <f t="shared" si="12"/>
        <v>0</v>
      </c>
      <c r="AB21" s="40">
        <f t="shared" si="4"/>
        <v>19</v>
      </c>
      <c r="AC21" s="40" t="s">
        <v>127</v>
      </c>
      <c r="AD21" s="40" t="s">
        <v>222</v>
      </c>
      <c r="AE21" s="40" t="str">
        <f>IF(AC21=Charts!$G$20,hiddenPage!AB21,"")</f>
        <v/>
      </c>
      <c r="AF21" s="40" t="e">
        <f>SMALL($AE$3:$AE$27,ROWS($AE$3:AE21))</f>
        <v>#NUM!</v>
      </c>
    </row>
    <row r="22" spans="1:32" x14ac:dyDescent="0.3">
      <c r="A22" s="42" t="str">
        <f t="shared" si="8"/>
        <v/>
      </c>
      <c r="B22" s="62"/>
      <c r="C22" s="62"/>
      <c r="D22" s="62"/>
      <c r="E22" s="62"/>
      <c r="F22" s="62">
        <f>SUMIF('1.FinancialPosition'!$B:$B,$A22,'1.FinancialPosition'!C:C)</f>
        <v>0</v>
      </c>
      <c r="G22" s="62">
        <f>SUMIF('1.FinancialPosition'!$B:$B,$A22,'1.FinancialPosition'!D:D)</f>
        <v>0</v>
      </c>
      <c r="H22" s="62">
        <f>SUMIF('1.FinancialPosition'!$B:$B,$A22,'1.FinancialPosition'!E:E)</f>
        <v>0</v>
      </c>
      <c r="I22" s="63">
        <f t="shared" ref="I22" si="13">SUMPRODUCT($D$14:$H$14,D22:H22)</f>
        <v>0</v>
      </c>
      <c r="J22" s="64">
        <f>RANK(I22,$I$16:$I$22,0)+COUNTIF($I22:I$22,I22)-1</f>
        <v>5</v>
      </c>
      <c r="K22" s="54"/>
      <c r="L22" s="54"/>
      <c r="M22" s="53">
        <v>7</v>
      </c>
      <c r="N22" s="54"/>
      <c r="O22" s="22" t="str">
        <f t="shared" si="10"/>
        <v>Other current financial assets</v>
      </c>
      <c r="P22" s="22"/>
      <c r="Q22" s="22"/>
      <c r="R22" s="65">
        <f t="shared" si="11"/>
        <v>-0.47000000020489097</v>
      </c>
      <c r="S22" s="66">
        <f t="shared" si="12"/>
        <v>-2.7568392384392447E-9</v>
      </c>
      <c r="AB22" s="40">
        <f t="shared" si="4"/>
        <v>20</v>
      </c>
      <c r="AC22" s="40" t="s">
        <v>127</v>
      </c>
      <c r="AD22" s="40" t="s">
        <v>31</v>
      </c>
      <c r="AE22" s="40" t="str">
        <f>IF(AC22=Charts!$G$20,hiddenPage!AB22,"")</f>
        <v/>
      </c>
      <c r="AF22" s="40" t="e">
        <f>SMALL($AE$3:$AE$27,ROWS($AE$3:AE22))</f>
        <v>#NUM!</v>
      </c>
    </row>
    <row r="23" spans="1:32" x14ac:dyDescent="0.3">
      <c r="O23" s="53" t="str">
        <f>"Total  : "&amp;TEXT(R23,"#,##0;[Red]-#,##0")&amp;" lei"</f>
        <v>Total  : 170,485,095 lei</v>
      </c>
      <c r="R23" s="56">
        <f>SUM(R16:R22)</f>
        <v>170485095.26836845</v>
      </c>
      <c r="AB23" s="40">
        <f t="shared" si="4"/>
        <v>21</v>
      </c>
      <c r="AC23" s="40" t="s">
        <v>127</v>
      </c>
      <c r="AD23" s="40" t="s">
        <v>181</v>
      </c>
      <c r="AE23" s="40" t="str">
        <f>IF(AC23=Charts!$G$20,hiddenPage!AB23,"")</f>
        <v/>
      </c>
      <c r="AF23" s="40" t="e">
        <f>SMALL($AE$3:$AE$27,ROWS($AE$3:AE23))</f>
        <v>#NUM!</v>
      </c>
    </row>
    <row r="24" spans="1:32" x14ac:dyDescent="0.3">
      <c r="A24" s="40">
        <f>Charts!T20</f>
        <v>0</v>
      </c>
      <c r="D24" s="40" t="str">
        <f>"Evolution of "&amp;A24&amp;" in the period "&amp;Data_Interim!L3&amp;" - "&amp;Data_Interim!P3</f>
        <v>Evolution of 0 in the period  - 2023</v>
      </c>
      <c r="AB24" s="40">
        <f t="shared" si="4"/>
        <v>22</v>
      </c>
      <c r="AC24" s="40" t="s">
        <v>127</v>
      </c>
      <c r="AD24" s="40" t="s">
        <v>182</v>
      </c>
      <c r="AE24" s="40" t="str">
        <f>IF(AC24=Charts!$G$20,hiddenPage!AB24,"")</f>
        <v/>
      </c>
      <c r="AF24" s="40" t="e">
        <f>SMALL($AE$3:$AE$27,ROWS($AE$3:AE24))</f>
        <v>#NUM!</v>
      </c>
    </row>
    <row r="25" spans="1:32" x14ac:dyDescent="0.3">
      <c r="A25" s="40">
        <f>Data_Interim!L3</f>
        <v>0</v>
      </c>
      <c r="B25" s="45" t="e">
        <f>SUMIF('1.FinancialPosition'!$B:$B,hiddenPage!$A$24,'1.FinancialPosition'!#REF!)</f>
        <v>#REF!</v>
      </c>
      <c r="C25" s="45"/>
      <c r="D25" s="46"/>
      <c r="E25" s="45"/>
      <c r="F25" s="45"/>
      <c r="G25" s="45"/>
      <c r="AB25" s="40">
        <f t="shared" si="4"/>
        <v>23</v>
      </c>
      <c r="AC25" s="40" t="s">
        <v>128</v>
      </c>
      <c r="AD25" s="40" t="s">
        <v>226</v>
      </c>
      <c r="AE25" s="40" t="str">
        <f>IF(AC25=Charts!$G$20,hiddenPage!AB25,"")</f>
        <v/>
      </c>
      <c r="AF25" s="40" t="e">
        <f>SMALL($AE$3:$AE$27,ROWS($AE$3:AE25))</f>
        <v>#NUM!</v>
      </c>
    </row>
    <row r="26" spans="1:32" x14ac:dyDescent="0.3">
      <c r="A26" s="40">
        <f t="shared" ref="A26:A29" si="14">A25+1</f>
        <v>1</v>
      </c>
      <c r="B26" s="45" t="e">
        <f>SUMIF('1.FinancialPosition'!$B:$B,hiddenPage!$A$24,'1.FinancialPosition'!#REF!)</f>
        <v>#REF!</v>
      </c>
      <c r="C26" s="45"/>
      <c r="D26" s="46"/>
      <c r="E26" s="45"/>
      <c r="F26" s="45"/>
      <c r="G26" s="45"/>
      <c r="AB26" s="40">
        <f t="shared" si="4"/>
        <v>24</v>
      </c>
      <c r="AC26" s="40" t="s">
        <v>128</v>
      </c>
      <c r="AD26" s="40" t="s">
        <v>177</v>
      </c>
      <c r="AE26" s="40" t="str">
        <f>IF(AC26=Charts!$G$20,hiddenPage!AB26,"")</f>
        <v/>
      </c>
      <c r="AF26" s="40" t="e">
        <f>SMALL($AE$3:$AE$27,ROWS($AE$3:AE26))</f>
        <v>#NUM!</v>
      </c>
    </row>
    <row r="27" spans="1:32" x14ac:dyDescent="0.3">
      <c r="A27" s="40">
        <f t="shared" si="14"/>
        <v>2</v>
      </c>
      <c r="B27" s="45">
        <f>SUMIF('1.FinancialPosition'!$B:$B,hiddenPage!$A$24,'1.FinancialPosition'!C:C)</f>
        <v>0</v>
      </c>
      <c r="C27" s="45"/>
      <c r="D27" s="46"/>
      <c r="E27" s="45"/>
      <c r="F27" s="45"/>
      <c r="G27" s="45"/>
      <c r="AB27" s="40">
        <f t="shared" si="4"/>
        <v>25</v>
      </c>
      <c r="AC27" s="40" t="s">
        <v>128</v>
      </c>
      <c r="AD27" s="40" t="s">
        <v>179</v>
      </c>
      <c r="AE27" s="40" t="str">
        <f>IF(AC27=Charts!$G$20,hiddenPage!AB27,"")</f>
        <v/>
      </c>
      <c r="AF27" s="40" t="e">
        <f>SMALL($AE$3:$AE$27,ROWS($AE$3:AE27))</f>
        <v>#NUM!</v>
      </c>
    </row>
    <row r="28" spans="1:32" x14ac:dyDescent="0.3">
      <c r="A28" s="40">
        <f t="shared" si="14"/>
        <v>3</v>
      </c>
      <c r="B28" s="45">
        <f>SUMIF('1.FinancialPosition'!$B:$B,hiddenPage!$A$24,'1.FinancialPosition'!D:D)</f>
        <v>0</v>
      </c>
      <c r="C28" s="45"/>
      <c r="D28" s="46"/>
      <c r="E28" s="45"/>
      <c r="F28" s="45"/>
      <c r="G28" s="45"/>
    </row>
    <row r="29" spans="1:32" x14ac:dyDescent="0.3">
      <c r="A29" s="40">
        <f t="shared" si="14"/>
        <v>4</v>
      </c>
      <c r="B29" s="45">
        <f>SUMIF('1.FinancialPosition'!$B:$B,hiddenPage!$A$24,'1.FinancialPosition'!E:E)</f>
        <v>0</v>
      </c>
      <c r="C29" s="45"/>
      <c r="D29" s="46"/>
      <c r="E29" s="45"/>
      <c r="F29" s="45"/>
      <c r="G29" s="45"/>
    </row>
    <row r="31" spans="1:32" x14ac:dyDescent="0.3">
      <c r="B31" s="54" t="s">
        <v>132</v>
      </c>
      <c r="C31" s="54" t="s">
        <v>133</v>
      </c>
      <c r="D31" s="54" t="s">
        <v>134</v>
      </c>
      <c r="E31" s="54" t="s">
        <v>135</v>
      </c>
      <c r="F31" s="54" t="s">
        <v>131</v>
      </c>
      <c r="G31" s="54" t="s">
        <v>136</v>
      </c>
    </row>
    <row r="32" spans="1:32" x14ac:dyDescent="0.3">
      <c r="A32" s="55"/>
      <c r="F32" s="56" t="e">
        <f>B25</f>
        <v>#REF!</v>
      </c>
      <c r="G32" s="56" t="e">
        <f>F32</f>
        <v>#REF!</v>
      </c>
    </row>
    <row r="33" spans="1:8" x14ac:dyDescent="0.3">
      <c r="A33" s="153" t="str">
        <f>I33&amp;A26</f>
        <v>1</v>
      </c>
      <c r="B33" s="47" t="e">
        <f>SUM(B32,E32:F32)-D33</f>
        <v>#REF!</v>
      </c>
      <c r="C33" s="47"/>
      <c r="D33" s="47" t="e">
        <f>IF(G33&lt;0,-G33,0)</f>
        <v>#REF!</v>
      </c>
      <c r="E33" s="47" t="e">
        <f>IF(G33&gt;0,G33,0)</f>
        <v>#REF!</v>
      </c>
      <c r="G33" s="56" t="e">
        <f>B26-B25</f>
        <v>#REF!</v>
      </c>
    </row>
    <row r="34" spans="1:8" x14ac:dyDescent="0.3">
      <c r="A34" s="153" t="str">
        <f t="shared" ref="A34:A36" si="15">I34&amp;A27</f>
        <v>2</v>
      </c>
      <c r="B34" s="47" t="e">
        <f t="shared" ref="B34:B36" si="16">SUM(B33,E33:F33)-D34</f>
        <v>#REF!</v>
      </c>
      <c r="C34" s="47"/>
      <c r="D34" s="47" t="e">
        <f t="shared" ref="D34:D36" si="17">IF(G34&lt;0,-G34,0)</f>
        <v>#REF!</v>
      </c>
      <c r="E34" s="47" t="e">
        <f t="shared" ref="E34:E36" si="18">IF(G34&gt;0,G34,0)</f>
        <v>#REF!</v>
      </c>
      <c r="G34" s="56" t="e">
        <f t="shared" ref="G34:G36" si="19">B27-B26</f>
        <v>#REF!</v>
      </c>
    </row>
    <row r="35" spans="1:8" x14ac:dyDescent="0.3">
      <c r="A35" s="153" t="str">
        <f t="shared" si="15"/>
        <v>3</v>
      </c>
      <c r="B35" s="47" t="e">
        <f t="shared" si="16"/>
        <v>#REF!</v>
      </c>
      <c r="C35" s="47"/>
      <c r="D35" s="47">
        <f t="shared" si="17"/>
        <v>0</v>
      </c>
      <c r="E35" s="47">
        <f t="shared" si="18"/>
        <v>0</v>
      </c>
      <c r="G35" s="56">
        <f t="shared" si="19"/>
        <v>0</v>
      </c>
    </row>
    <row r="36" spans="1:8" x14ac:dyDescent="0.3">
      <c r="A36" s="153" t="str">
        <f t="shared" si="15"/>
        <v>4</v>
      </c>
      <c r="B36" s="47" t="e">
        <f t="shared" si="16"/>
        <v>#REF!</v>
      </c>
      <c r="C36" s="47"/>
      <c r="D36" s="47">
        <f t="shared" si="17"/>
        <v>0</v>
      </c>
      <c r="E36" s="47">
        <f t="shared" si="18"/>
        <v>0</v>
      </c>
      <c r="G36" s="56">
        <f t="shared" si="19"/>
        <v>0</v>
      </c>
    </row>
    <row r="37" spans="1:8" x14ac:dyDescent="0.3">
      <c r="A37" s="41"/>
      <c r="B37" s="47"/>
      <c r="C37" s="47" t="e">
        <f t="shared" ref="C37" si="20">SUM(B36,E36:F36)-D37</f>
        <v>#REF!</v>
      </c>
      <c r="D37" s="47"/>
      <c r="E37" s="47"/>
      <c r="G37" s="56"/>
    </row>
    <row r="41" spans="1:8" x14ac:dyDescent="0.3">
      <c r="A41" s="43" t="str">
        <f>A10</f>
        <v>Total liabilities</v>
      </c>
      <c r="D41" s="99" t="e">
        <f>D10/D$12</f>
        <v>#REF!</v>
      </c>
      <c r="E41" s="99" t="e">
        <f t="shared" ref="E41:H41" si="21">E10/E$12</f>
        <v>#REF!</v>
      </c>
      <c r="F41" s="99">
        <f t="shared" si="21"/>
        <v>0.52463428537911072</v>
      </c>
      <c r="G41" s="99">
        <f t="shared" si="21"/>
        <v>0.54426182298240133</v>
      </c>
      <c r="H41" s="99">
        <f t="shared" si="21"/>
        <v>0.43021296980949675</v>
      </c>
    </row>
    <row r="42" spans="1:8" x14ac:dyDescent="0.3">
      <c r="A42" s="43" t="str">
        <f>A11</f>
        <v>Total Equity</v>
      </c>
      <c r="D42" s="99" t="e">
        <f>D11/D$12</f>
        <v>#REF!</v>
      </c>
      <c r="E42" s="99" t="e">
        <f t="shared" ref="E42:H42" si="22">E11/E$12</f>
        <v>#REF!</v>
      </c>
      <c r="F42" s="99">
        <f t="shared" si="22"/>
        <v>0.47536571462088928</v>
      </c>
      <c r="G42" s="99">
        <f t="shared" si="22"/>
        <v>0.45573817701759856</v>
      </c>
      <c r="H42" s="99">
        <f t="shared" si="22"/>
        <v>0.56978703019050336</v>
      </c>
    </row>
    <row r="45" spans="1:8" x14ac:dyDescent="0.3">
      <c r="F45" s="40">
        <f>F9</f>
        <v>2021</v>
      </c>
      <c r="G45" s="40">
        <f t="shared" ref="G45:H45" si="23">G9</f>
        <v>2022</v>
      </c>
      <c r="H45" s="40">
        <f t="shared" si="23"/>
        <v>2023</v>
      </c>
    </row>
    <row r="46" spans="1:8" x14ac:dyDescent="0.3">
      <c r="A46" s="42" t="str">
        <f>INDEX(X:X,MATCH(Charts!G20,Y:Y,0))</f>
        <v>Total current assets</v>
      </c>
      <c r="B46" s="62"/>
      <c r="C46" s="62"/>
      <c r="D46" s="62" t="e">
        <f>SUMIF('1.FinancialPosition'!$B:$B,$A46,'1.FinancialPosition'!#REF!)</f>
        <v>#REF!</v>
      </c>
      <c r="E46" s="62" t="e">
        <f>SUMIF('1.FinancialPosition'!$B:$B,$A46,'1.FinancialPosition'!#REF!)</f>
        <v>#REF!</v>
      </c>
      <c r="F46" s="62">
        <f>SUMIF('1.FinancialPosition'!$B:$B,$A46,'1.FinancialPosition'!C:C)</f>
        <v>115868481.38333496</v>
      </c>
      <c r="G46" s="62">
        <f>SUMIF('1.FinancialPosition'!$B:$B,$A46,'1.FinancialPosition'!D:D)</f>
        <v>148386732.48629877</v>
      </c>
      <c r="H46" s="62">
        <f>SUMIF('1.FinancialPosition'!$B:$B,$A46,'1.FinancialPosition'!E:E)</f>
        <v>170485095.26836845</v>
      </c>
    </row>
    <row r="48" spans="1:8" x14ac:dyDescent="0.3">
      <c r="A48" s="40" t="str">
        <f>"The evolution of the item "&amp;Charts!G20&amp;" during the period 2021 - 2023"</f>
        <v>The evolution of the item Current assets during the period 2021 - 2023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6"/>
  <sheetViews>
    <sheetView showGridLines="0" zoomScale="80" zoomScaleNormal="80" workbookViewId="0">
      <selection activeCell="D27" sqref="D27"/>
    </sheetView>
  </sheetViews>
  <sheetFormatPr defaultRowHeight="15" x14ac:dyDescent="0.3"/>
  <cols>
    <col min="1" max="1" width="6.44140625" customWidth="1"/>
    <col min="2" max="2" width="37.109375" customWidth="1"/>
    <col min="3" max="5" width="13.109375" bestFit="1" customWidth="1"/>
    <col min="6" max="6" width="2.88671875" style="52" bestFit="1" customWidth="1"/>
    <col min="7" max="7" width="13.6640625" bestFit="1" customWidth="1"/>
    <col min="8" max="8" width="7.5546875" bestFit="1" customWidth="1"/>
  </cols>
  <sheetData>
    <row r="2" spans="2:8" x14ac:dyDescent="0.3">
      <c r="B2" s="166" t="s">
        <v>272</v>
      </c>
    </row>
    <row r="3" spans="2:8" ht="15.6" thickBot="1" x14ac:dyDescent="0.35"/>
    <row r="4" spans="2:8" thickBot="1" x14ac:dyDescent="0.35">
      <c r="B4" s="139" t="s">
        <v>111</v>
      </c>
      <c r="C4" s="140">
        <f>Data_Interim!N3</f>
        <v>2021</v>
      </c>
      <c r="D4" s="140">
        <f>Data_Interim!O3</f>
        <v>2022</v>
      </c>
      <c r="E4" s="140">
        <f>Data_Interim!P3</f>
        <v>2023</v>
      </c>
      <c r="F4" s="231" t="str">
        <f>CONCATENATE(E4," vs. ",D4)</f>
        <v>2023 vs. 2022</v>
      </c>
      <c r="G4" s="231"/>
      <c r="H4" s="231"/>
    </row>
    <row r="5" spans="2:8" ht="14.4" x14ac:dyDescent="0.3">
      <c r="B5" s="141" t="s">
        <v>143</v>
      </c>
      <c r="C5" s="13">
        <f>'3.Profit or loss statement'!C4</f>
        <v>73843980.703151584</v>
      </c>
      <c r="D5" s="13">
        <f>'3.Profit or loss statement'!D4</f>
        <v>95365144.089409724</v>
      </c>
      <c r="E5" s="142">
        <f>'3.Profit or loss statement'!E4</f>
        <v>89872750.660000011</v>
      </c>
      <c r="F5" s="9" t="str">
        <f>IF(E5+D5&gt;0,IF(E5&gt;D5,"▲",IF(E5=D5,"▬","▼")),IF(E5&gt;D5,"▼",IF(E5=D5,"▬","▲")))</f>
        <v>▼</v>
      </c>
      <c r="G5" s="13">
        <f>E5-D5</f>
        <v>-5492393.4294097126</v>
      </c>
      <c r="H5" s="151">
        <f>E5/D5-1</f>
        <v>-5.759330080034597E-2</v>
      </c>
    </row>
    <row r="6" spans="2:8" ht="14.4" x14ac:dyDescent="0.3">
      <c r="B6" s="141" t="s">
        <v>48</v>
      </c>
      <c r="C6" s="13">
        <f>'3.Profit or loss statement'!C5</f>
        <v>1070758.72</v>
      </c>
      <c r="D6" s="13">
        <f>'3.Profit or loss statement'!D5</f>
        <v>1073658.9500000007</v>
      </c>
      <c r="E6" s="142">
        <f>'3.Profit or loss statement'!E5</f>
        <v>1031513.09</v>
      </c>
      <c r="F6" s="9" t="str">
        <f t="shared" ref="F6:F18" si="0">IF(E6+D6&gt;0,IF(E6&gt;D6,"▲",IF(E6=D6,"▬","▼")),IF(E6&gt;D6,"▼",IF(E6=D6,"▬","▲")))</f>
        <v>▼</v>
      </c>
      <c r="G6" s="13">
        <f t="shared" ref="G6:G16" si="1">E6-D6</f>
        <v>-42145.860000000685</v>
      </c>
      <c r="H6" s="151">
        <f t="shared" ref="H6:H16" si="2">E6/D6-1</f>
        <v>-3.925442059603812E-2</v>
      </c>
    </row>
    <row r="7" spans="2:8" ht="28.8" x14ac:dyDescent="0.3">
      <c r="B7" s="159" t="s">
        <v>260</v>
      </c>
      <c r="C7" s="157">
        <f>'3.Profit or loss statement'!C15</f>
        <v>739876.03311407438</v>
      </c>
      <c r="D7" s="157">
        <f>'3.Profit or loss statement'!D15</f>
        <v>1583476.2300061372</v>
      </c>
      <c r="E7" s="156">
        <f>'3.Profit or loss statement'!E15</f>
        <v>0</v>
      </c>
      <c r="F7" s="158" t="str">
        <f t="shared" si="0"/>
        <v>▼</v>
      </c>
      <c r="G7" s="157">
        <f t="shared" ref="G7" si="3">E7-D7</f>
        <v>-1583476.2300061372</v>
      </c>
      <c r="H7" s="148" t="s">
        <v>261</v>
      </c>
    </row>
    <row r="8" spans="2:8" thickBot="1" x14ac:dyDescent="0.35">
      <c r="B8" s="141" t="s">
        <v>64</v>
      </c>
      <c r="C8" s="15">
        <f>'EBIT-EBITDA'!C10</f>
        <v>3962849.533862072</v>
      </c>
      <c r="D8" s="15">
        <f>'EBIT-EBITDA'!D10</f>
        <v>8089482.2805453893</v>
      </c>
      <c r="E8" s="142">
        <f>'EBIT-EBITDA'!E10</f>
        <v>6880433.057260585</v>
      </c>
      <c r="F8" s="9" t="str">
        <f t="shared" si="0"/>
        <v>▼</v>
      </c>
      <c r="G8" s="13">
        <f t="shared" si="1"/>
        <v>-1209049.2232848043</v>
      </c>
      <c r="H8" s="151">
        <f t="shared" si="2"/>
        <v>-0.14945940683898629</v>
      </c>
    </row>
    <row r="9" spans="2:8" thickBot="1" x14ac:dyDescent="0.35">
      <c r="B9" s="143" t="s">
        <v>162</v>
      </c>
      <c r="C9" s="144">
        <f>SUMIFS(Data_Interim!N:N,Data_Interim!$B:$B,Snapshots!$B$9)</f>
        <v>3901984.9507479719</v>
      </c>
      <c r="D9" s="144">
        <f>SUMIFS(Data_Interim!O:O,Data_Interim!$B:$B,Snapshots!$B$9)</f>
        <v>6572210.8305392191</v>
      </c>
      <c r="E9" s="145">
        <f>SUMIFS(Data_Interim!P:P,Data_Interim!$B:$B,Snapshots!$B$9)</f>
        <v>2824874.7638460919</v>
      </c>
      <c r="F9" s="146" t="str">
        <f t="shared" si="0"/>
        <v>▼</v>
      </c>
      <c r="G9" s="147">
        <f t="shared" si="1"/>
        <v>-3747336.0666931272</v>
      </c>
      <c r="H9" s="164">
        <f t="shared" si="2"/>
        <v>-0.5701789189842037</v>
      </c>
    </row>
    <row r="10" spans="2:8" thickBot="1" x14ac:dyDescent="0.35">
      <c r="B10" s="141" t="s">
        <v>193</v>
      </c>
      <c r="C10" s="15">
        <f>'3.Profit or loss statement'!C12</f>
        <v>1079519.8890822835</v>
      </c>
      <c r="D10" s="15">
        <f>'3.Profit or loss statement'!D12</f>
        <v>3794534.9886154411</v>
      </c>
      <c r="E10" s="142">
        <f>'3.Profit or loss statement'!E12</f>
        <v>4210508.0979948705</v>
      </c>
      <c r="F10" s="146" t="str">
        <f t="shared" ref="F10" si="4">IF(E10+D10&gt;0,IF(E10&gt;D10,"▲",IF(E10=D10,"▬","▼")),IF(E10&gt;D10,"▼",IF(E10=D10,"▬","▲")))</f>
        <v>▲</v>
      </c>
      <c r="G10" s="147">
        <f t="shared" ref="G10" si="5">E10-D10</f>
        <v>415973.10937942937</v>
      </c>
      <c r="H10" s="164">
        <f t="shared" ref="H10" si="6">E10/D10-1</f>
        <v>0.10962426506210998</v>
      </c>
    </row>
    <row r="11" spans="2:8" thickBot="1" x14ac:dyDescent="0.35">
      <c r="B11" s="141" t="s">
        <v>107</v>
      </c>
      <c r="C11" s="15">
        <f>'3.Profit or loss statement'!C18</f>
        <v>602170.24386207212</v>
      </c>
      <c r="D11" s="15">
        <f>'3.Profit or loss statement'!D18</f>
        <v>4471703.7805453883</v>
      </c>
      <c r="E11" s="142">
        <f>'3.Profit or loss statement'!E18</f>
        <v>2837415.2872605845</v>
      </c>
      <c r="F11" s="9" t="str">
        <f>IF(E11+D11&gt;0,IF(E11&gt;D11,"▲",IF(E11=D11,"▬","▼")),IF(E11&gt;D11,"▼",IF(E11=D11,"▬","▲")))</f>
        <v>▼</v>
      </c>
      <c r="G11" s="13">
        <f t="shared" si="1"/>
        <v>-1634288.4932848038</v>
      </c>
      <c r="H11" s="151">
        <f t="shared" si="2"/>
        <v>-0.3654733348829915</v>
      </c>
    </row>
    <row r="12" spans="2:8" ht="43.8" thickBot="1" x14ac:dyDescent="0.35">
      <c r="B12" s="162" t="s">
        <v>262</v>
      </c>
      <c r="C12" s="160">
        <f t="shared" ref="C12:E12" si="7">C11-C7</f>
        <v>-137705.78925200226</v>
      </c>
      <c r="D12" s="160">
        <f t="shared" si="7"/>
        <v>2888227.5505392514</v>
      </c>
      <c r="E12" s="161">
        <f t="shared" si="7"/>
        <v>2837415.2872605845</v>
      </c>
      <c r="F12" s="163" t="str">
        <f>IF(E12+D12&gt;0,IF(E12&gt;D12,"▲",IF(E12=D12,"▬","▼")),IF(E12&gt;D12,"▼",IF(E12=D12,"▬","▲")))</f>
        <v>▼</v>
      </c>
      <c r="G12" s="160">
        <f t="shared" si="1"/>
        <v>-50812.263278666884</v>
      </c>
      <c r="H12" s="165">
        <f t="shared" si="2"/>
        <v>-1.7592887814251279E-2</v>
      </c>
    </row>
    <row r="13" spans="2:8" ht="14.4" x14ac:dyDescent="0.3">
      <c r="B13" s="141" t="s">
        <v>108</v>
      </c>
      <c r="C13" s="15">
        <f>'1.FinancialPosition'!C11</f>
        <v>179381875.45212984</v>
      </c>
      <c r="D13" s="15">
        <f>'1.FinancialPosition'!D11</f>
        <v>166350918.19353476</v>
      </c>
      <c r="E13" s="142">
        <f>'1.FinancialPosition'!E11</f>
        <v>132568035.51504387</v>
      </c>
      <c r="F13" s="9" t="str">
        <f t="shared" si="0"/>
        <v>▼</v>
      </c>
      <c r="G13" s="13">
        <f t="shared" si="1"/>
        <v>-33782882.678490892</v>
      </c>
      <c r="H13" s="151">
        <f t="shared" si="2"/>
        <v>-0.20308203312221851</v>
      </c>
    </row>
    <row r="14" spans="2:8" ht="14.4" x14ac:dyDescent="0.3">
      <c r="B14" s="141" t="s">
        <v>109</v>
      </c>
      <c r="C14" s="15">
        <f>'1.FinancialPosition'!C18</f>
        <v>115868481.38333496</v>
      </c>
      <c r="D14" s="15">
        <f>'1.FinancialPosition'!D18</f>
        <v>148386732.48629877</v>
      </c>
      <c r="E14" s="142">
        <f>'1.FinancialPosition'!E18</f>
        <v>170485095.26836845</v>
      </c>
      <c r="F14" s="9" t="str">
        <f t="shared" si="0"/>
        <v>▲</v>
      </c>
      <c r="G14" s="13">
        <f t="shared" si="1"/>
        <v>22098362.782069683</v>
      </c>
      <c r="H14" s="151">
        <f t="shared" si="2"/>
        <v>0.14892411478977841</v>
      </c>
    </row>
    <row r="15" spans="2:8" ht="14.4" x14ac:dyDescent="0.3">
      <c r="B15" s="141" t="s">
        <v>27</v>
      </c>
      <c r="C15" s="15">
        <f>'1.FinancialPosition'!C26</f>
        <v>140351897.00104311</v>
      </c>
      <c r="D15" s="15">
        <f>'1.FinancialPosition'!D26</f>
        <v>143437963.1610069</v>
      </c>
      <c r="E15" s="142">
        <f>'1.FinancialPosition'!E26</f>
        <v>172675743.60079348</v>
      </c>
      <c r="F15" s="9" t="str">
        <f t="shared" si="0"/>
        <v>▲</v>
      </c>
      <c r="G15" s="13">
        <f t="shared" si="1"/>
        <v>29237780.439786583</v>
      </c>
      <c r="H15" s="151">
        <f t="shared" si="2"/>
        <v>0.20383571960630542</v>
      </c>
    </row>
    <row r="16" spans="2:8" ht="14.4" x14ac:dyDescent="0.3">
      <c r="B16" s="141" t="s">
        <v>110</v>
      </c>
      <c r="C16" s="15">
        <f>'1.FinancialPosition'!C36</f>
        <v>154898460.11184981</v>
      </c>
      <c r="D16" s="15">
        <f>'1.FinancialPosition'!D36</f>
        <v>171299687.52184987</v>
      </c>
      <c r="E16" s="142">
        <f>'1.FinancialPosition'!E36</f>
        <v>130377387.57184985</v>
      </c>
      <c r="F16" s="9" t="str">
        <f t="shared" si="0"/>
        <v>▼</v>
      </c>
      <c r="G16" s="13">
        <f t="shared" si="1"/>
        <v>-40922299.950000018</v>
      </c>
      <c r="H16" s="151">
        <f t="shared" si="2"/>
        <v>-0.23889302159281656</v>
      </c>
    </row>
    <row r="17" spans="2:10" ht="14.4" x14ac:dyDescent="0.3">
      <c r="B17" s="141" t="s">
        <v>160</v>
      </c>
      <c r="C17" s="148">
        <f t="shared" ref="C17:E17" si="8">C16/(C13+C14)</f>
        <v>0.52463428587207639</v>
      </c>
      <c r="D17" s="148">
        <f t="shared" si="8"/>
        <v>0.54426182298762937</v>
      </c>
      <c r="E17" s="149">
        <f t="shared" si="8"/>
        <v>0.43021297036204742</v>
      </c>
      <c r="F17" s="9" t="str">
        <f t="shared" si="0"/>
        <v>▼</v>
      </c>
      <c r="G17" s="150">
        <f>E17-D17</f>
        <v>-0.11404885262558195</v>
      </c>
      <c r="H17" s="151">
        <f>E17/D17-1</f>
        <v>-0.20954777242969358</v>
      </c>
    </row>
    <row r="18" spans="2:10" ht="14.4" x14ac:dyDescent="0.3">
      <c r="B18" s="141" t="s">
        <v>161</v>
      </c>
      <c r="C18" s="148">
        <f>'1.FinancialPosition'!C18/'1.FinancialPosition'!C35</f>
        <v>1.039107787010086</v>
      </c>
      <c r="D18" s="148">
        <f>'1.FinancialPosition'!D18/'1.FinancialPosition'!D35</f>
        <v>1.0472305906182218</v>
      </c>
      <c r="E18" s="149">
        <f>'1.FinancialPosition'!E18/'1.FinancialPosition'!E35</f>
        <v>1.6243165361086007</v>
      </c>
      <c r="F18" s="9" t="str">
        <f t="shared" si="0"/>
        <v>▲</v>
      </c>
      <c r="G18" s="150">
        <f t="shared" ref="G18" si="9">E18-D18</f>
        <v>0.57708594549037895</v>
      </c>
      <c r="H18" s="151">
        <f t="shared" ref="H18" si="10">E18/D18-1</f>
        <v>0.55105909878902803</v>
      </c>
    </row>
    <row r="20" spans="2:10" ht="14.4" x14ac:dyDescent="0.3">
      <c r="B20" s="232" t="s">
        <v>164</v>
      </c>
      <c r="C20" s="232"/>
      <c r="D20" s="232"/>
      <c r="E20" s="232"/>
      <c r="F20" s="232"/>
      <c r="G20" s="232"/>
      <c r="H20" s="232"/>
      <c r="I20" s="54"/>
      <c r="J20" s="98">
        <f>E5/C5-1</f>
        <v>0.21706264754717286</v>
      </c>
    </row>
    <row r="21" spans="2:10" ht="14.4" x14ac:dyDescent="0.3">
      <c r="B21" s="232"/>
      <c r="C21" s="232"/>
      <c r="D21" s="232"/>
      <c r="E21" s="232"/>
      <c r="F21" s="232"/>
      <c r="G21" s="232"/>
      <c r="H21" s="232"/>
      <c r="I21" s="54"/>
    </row>
    <row r="22" spans="2:10" ht="14.4" x14ac:dyDescent="0.3">
      <c r="B22" s="232" t="s">
        <v>163</v>
      </c>
      <c r="C22" s="232"/>
      <c r="D22" s="232"/>
      <c r="E22" s="232"/>
      <c r="F22" s="232"/>
      <c r="G22" s="232"/>
      <c r="H22" s="232"/>
      <c r="I22" s="232"/>
    </row>
    <row r="23" spans="2:10" ht="14.4" x14ac:dyDescent="0.3">
      <c r="B23" s="232"/>
      <c r="C23" s="232"/>
      <c r="D23" s="232"/>
      <c r="E23" s="232"/>
      <c r="F23" s="232"/>
      <c r="G23" s="232"/>
      <c r="H23" s="232"/>
      <c r="I23" s="232"/>
    </row>
    <row r="25" spans="2:10" x14ac:dyDescent="0.3">
      <c r="E25" s="101"/>
    </row>
    <row r="26" spans="2:10" x14ac:dyDescent="0.3">
      <c r="E26" s="102"/>
    </row>
  </sheetData>
  <mergeCells count="3">
    <mergeCell ref="F4:H4"/>
    <mergeCell ref="B22:I23"/>
    <mergeCell ref="B20:H21"/>
  </mergeCells>
  <conditionalFormatting sqref="F5:F8 F11 F13:F15">
    <cfRule type="expression" dxfId="165" priority="19">
      <formula>E5=D5</formula>
    </cfRule>
    <cfRule type="expression" dxfId="164" priority="20">
      <formula>E5&lt;D5</formula>
    </cfRule>
    <cfRule type="expression" dxfId="163" priority="21">
      <formula>E5&gt;D5</formula>
    </cfRule>
  </conditionalFormatting>
  <conditionalFormatting sqref="F18">
    <cfRule type="expression" dxfId="162" priority="16">
      <formula>E18=D18</formula>
    </cfRule>
    <cfRule type="expression" dxfId="161" priority="17">
      <formula>E18&lt;D18</formula>
    </cfRule>
    <cfRule type="expression" dxfId="160" priority="18">
      <formula>E18&gt;D18</formula>
    </cfRule>
  </conditionalFormatting>
  <conditionalFormatting sqref="F17">
    <cfRule type="expression" dxfId="159" priority="13">
      <formula>E17=D17</formula>
    </cfRule>
    <cfRule type="expression" dxfId="158" priority="14">
      <formula>E17&gt;D17</formula>
    </cfRule>
    <cfRule type="expression" dxfId="157" priority="15">
      <formula>E1&lt;D17</formula>
    </cfRule>
  </conditionalFormatting>
  <conditionalFormatting sqref="F9:F10">
    <cfRule type="expression" dxfId="156" priority="10">
      <formula>E9=D9</formula>
    </cfRule>
    <cfRule type="expression" dxfId="155" priority="11">
      <formula>E9&lt;D9</formula>
    </cfRule>
    <cfRule type="expression" dxfId="154" priority="12">
      <formula>E9&gt;D9</formula>
    </cfRule>
  </conditionalFormatting>
  <conditionalFormatting sqref="F16">
    <cfRule type="expression" dxfId="153" priority="85">
      <formula>E16=D16</formula>
    </cfRule>
    <cfRule type="expression" dxfId="152" priority="86">
      <formula>E16&gt;D16</formula>
    </cfRule>
    <cfRule type="expression" dxfId="151" priority="87">
      <formula>#REF!&lt;D16</formula>
    </cfRule>
  </conditionalFormatting>
  <conditionalFormatting sqref="F12">
    <cfRule type="expression" dxfId="150" priority="1">
      <formula>E12=D12</formula>
    </cfRule>
    <cfRule type="expression" dxfId="149" priority="2">
      <formula>E12&lt;D12</formula>
    </cfRule>
    <cfRule type="expression" dxfId="148" priority="3">
      <formula>E12&gt;D12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M9" sqref="M9"/>
    </sheetView>
  </sheetViews>
  <sheetFormatPr defaultColWidth="9.109375" defaultRowHeight="14.4" x14ac:dyDescent="0.3"/>
  <cols>
    <col min="1" max="1" width="53.33203125" style="1" hidden="1" customWidth="1"/>
    <col min="2" max="2" width="55.6640625" style="1" customWidth="1"/>
    <col min="3" max="3" width="13.109375" style="1" bestFit="1" customWidth="1"/>
    <col min="4" max="5" width="12.88671875" style="1" customWidth="1"/>
    <col min="6" max="6" width="10.5546875" style="1" bestFit="1" customWidth="1"/>
    <col min="7" max="7" width="11.109375" style="1" bestFit="1" customWidth="1"/>
    <col min="8" max="8" width="3" style="1" bestFit="1" customWidth="1"/>
    <col min="9" max="9" width="10.109375" style="1" bestFit="1" customWidth="1"/>
    <col min="10" max="10" width="9.109375" style="1"/>
    <col min="11" max="11" width="13.6640625" style="1" bestFit="1" customWidth="1"/>
    <col min="12" max="16384" width="9.109375" style="1"/>
  </cols>
  <sheetData>
    <row r="1" spans="1:9" x14ac:dyDescent="0.3">
      <c r="B1" s="166" t="s">
        <v>274</v>
      </c>
    </row>
    <row r="2" spans="1:9" ht="15" thickBot="1" x14ac:dyDescent="0.35"/>
    <row r="3" spans="1:9" ht="29.4" thickBot="1" x14ac:dyDescent="0.35">
      <c r="A3" s="29" t="s">
        <v>0</v>
      </c>
      <c r="B3" s="137" t="s">
        <v>0</v>
      </c>
      <c r="C3" s="155">
        <v>44286</v>
      </c>
      <c r="D3" s="155">
        <v>44651</v>
      </c>
      <c r="E3" s="155">
        <v>45016</v>
      </c>
      <c r="F3" s="138" t="str">
        <f>"In total "&amp;Data_Interim!P3</f>
        <v>In total 2023</v>
      </c>
      <c r="G3" s="233" t="str">
        <f>CONCATENATE(Data_Interim!P3," vs. ",Data_Interim!O3)</f>
        <v>2023 vs. 2022</v>
      </c>
      <c r="H3" s="233"/>
      <c r="I3" s="233"/>
    </row>
    <row r="4" spans="1:9" x14ac:dyDescent="0.3">
      <c r="A4" s="2" t="s">
        <v>1</v>
      </c>
      <c r="B4" s="2" t="s">
        <v>2</v>
      </c>
      <c r="C4" s="2">
        <f>SUMIF(Data_Interim!$C:$C,$B4,Data_Interim!N:N)</f>
        <v>141545774.71566892</v>
      </c>
      <c r="D4" s="2">
        <f>SUMIF(Data_Interim!$C:$C,$B4,Data_Interim!O:O)</f>
        <v>129906556.38748705</v>
      </c>
      <c r="E4" s="133">
        <f>SUMIF(Data_Interim!$C:$C,$B4,Data_Interim!P:P)</f>
        <v>121854254.7980932</v>
      </c>
      <c r="F4" s="57">
        <f>E4/$E$19</f>
        <v>0.40208875085069046</v>
      </c>
      <c r="G4" s="58">
        <f>E4-D4</f>
        <v>-8052301.5893938541</v>
      </c>
      <c r="H4" s="57" t="str">
        <f>IF(E4&gt;D4,"▲",IF(E4=D4,"▬","▼"))</f>
        <v>▼</v>
      </c>
      <c r="I4" s="57">
        <f>IF(ISERROR(E4/D4-100%),"",E4/D4-100%)</f>
        <v>-6.1985336331873309E-2</v>
      </c>
    </row>
    <row r="5" spans="1:9" x14ac:dyDescent="0.3">
      <c r="A5" s="3" t="s">
        <v>3</v>
      </c>
      <c r="B5" s="3" t="s">
        <v>4</v>
      </c>
      <c r="C5" s="2">
        <f>SUMIF(Data_Interim!$C:$C,$B5,Data_Interim!N:N)</f>
        <v>11885346</v>
      </c>
      <c r="D5" s="2">
        <f>SUMIF(Data_Interim!$C:$C,$B5,Data_Interim!O:O)</f>
        <v>10894585.9</v>
      </c>
      <c r="E5" s="133">
        <f>SUMIF(Data_Interim!$C:$C,$B5,Data_Interim!P:P)</f>
        <v>9883738</v>
      </c>
      <c r="F5" s="57">
        <f t="shared" ref="F5:F10" si="0">E5/$E$19</f>
        <v>3.2613878544827717E-2</v>
      </c>
      <c r="G5" s="58">
        <f t="shared" ref="G5:G10" si="1">E5-D5</f>
        <v>-1010847.9000000004</v>
      </c>
      <c r="H5" s="57" t="str">
        <f t="shared" ref="H5:H10" si="2">IF(E5&gt;D5,"▲",IF(E5=D5,"▬","▼"))</f>
        <v>▼</v>
      </c>
      <c r="I5" s="57">
        <f t="shared" ref="I5:I10" si="3">IF(ISERROR(E5/D5-100%),"",E5/D5-100%)</f>
        <v>-9.2784426069833503E-2</v>
      </c>
    </row>
    <row r="6" spans="1:9" x14ac:dyDescent="0.3">
      <c r="A6" s="3"/>
      <c r="B6" s="3" t="s">
        <v>199</v>
      </c>
      <c r="C6" s="2">
        <f>SUMIF(Data_Interim!$C:$C,$B6,Data_Interim!N:N)</f>
        <v>143460.56021036324</v>
      </c>
      <c r="D6" s="2">
        <f>SUMIF(Data_Interim!$C:$C,$B6,Data_Interim!O:O)</f>
        <v>143460.56021036324</v>
      </c>
      <c r="E6" s="133">
        <f>SUMIF(Data_Interim!$C:$C,$B6,Data_Interim!P:P)</f>
        <v>143460.56021036324</v>
      </c>
      <c r="F6" s="57">
        <f t="shared" si="0"/>
        <v>4.7338418791288586E-4</v>
      </c>
      <c r="G6" s="58">
        <f t="shared" si="1"/>
        <v>0</v>
      </c>
      <c r="H6" s="57" t="str">
        <f t="shared" si="2"/>
        <v>▬</v>
      </c>
      <c r="I6" s="57">
        <f t="shared" si="3"/>
        <v>0</v>
      </c>
    </row>
    <row r="7" spans="1:9" x14ac:dyDescent="0.3">
      <c r="A7" s="3"/>
      <c r="B7" s="3" t="s">
        <v>165</v>
      </c>
      <c r="C7" s="2">
        <f>SUMIF(Data_Interim!$C:$C,$B7,Data_Interim!N:N)</f>
        <v>300850.84090909082</v>
      </c>
      <c r="D7" s="2">
        <f>SUMIF(Data_Interim!$C:$C,$B7,Data_Interim!O:O)</f>
        <v>301247.40181818209</v>
      </c>
      <c r="E7" s="133">
        <f>SUMIF(Data_Interim!$C:$C,$B7,Data_Interim!P:P)</f>
        <v>386709.92272727273</v>
      </c>
      <c r="F7" s="57">
        <f t="shared" si="0"/>
        <v>1.2760466183853706E-3</v>
      </c>
      <c r="G7" s="58">
        <f t="shared" si="1"/>
        <v>85462.520909090643</v>
      </c>
      <c r="H7" s="57" t="str">
        <f t="shared" si="2"/>
        <v>▲</v>
      </c>
      <c r="I7" s="57">
        <f t="shared" si="3"/>
        <v>0.28369546224558495</v>
      </c>
    </row>
    <row r="8" spans="1:9" x14ac:dyDescent="0.3">
      <c r="A8" s="3"/>
      <c r="B8" s="3" t="s">
        <v>202</v>
      </c>
      <c r="C8" s="2">
        <f>SUMIF(Data_Interim!$C:$C,$B8,Data_Interim!N:N)</f>
        <v>25209478.935341436</v>
      </c>
      <c r="D8" s="2">
        <f>SUMIF(Data_Interim!$C:$C,$B8,Data_Interim!O:O)</f>
        <v>24908093.994019158</v>
      </c>
      <c r="E8" s="133">
        <f>SUMIF(Data_Interim!$C:$C,$B8,Data_Interim!P:P)</f>
        <v>-8.5986979305744171E-2</v>
      </c>
      <c r="F8" s="57">
        <f t="shared" si="0"/>
        <v>-2.8373565745208493E-10</v>
      </c>
      <c r="G8" s="58">
        <f t="shared" si="1"/>
        <v>-24908094.080006137</v>
      </c>
      <c r="H8" s="57" t="str">
        <f t="shared" si="2"/>
        <v>▼</v>
      </c>
      <c r="I8" s="57">
        <f t="shared" si="3"/>
        <v>-1.0000000034521701</v>
      </c>
    </row>
    <row r="9" spans="1:9" x14ac:dyDescent="0.3">
      <c r="A9" s="3" t="s">
        <v>5</v>
      </c>
      <c r="B9" s="2" t="s">
        <v>166</v>
      </c>
      <c r="C9" s="2">
        <f>SUMIF(Data_Interim!$C:$C,$B9,Data_Interim!N:N)</f>
        <v>196964.40000000037</v>
      </c>
      <c r="D9" s="2">
        <f>SUMIF(Data_Interim!$C:$C,$B9,Data_Interim!O:O)</f>
        <v>196973.95</v>
      </c>
      <c r="E9" s="133">
        <f>SUMIF(Data_Interim!$C:$C,$B9,Data_Interim!P:P)</f>
        <v>297974.40000000037</v>
      </c>
      <c r="F9" s="57">
        <f t="shared" si="0"/>
        <v>9.832414508628136E-4</v>
      </c>
      <c r="G9" s="58">
        <f t="shared" si="1"/>
        <v>101000.45000000036</v>
      </c>
      <c r="H9" s="57" t="str">
        <f t="shared" si="2"/>
        <v>▲</v>
      </c>
      <c r="I9" s="57">
        <f t="shared" si="3"/>
        <v>0.51276044370334439</v>
      </c>
    </row>
    <row r="10" spans="1:9" ht="15" thickBot="1" x14ac:dyDescent="0.35">
      <c r="A10" s="2" t="s">
        <v>6</v>
      </c>
      <c r="B10" s="2" t="s">
        <v>205</v>
      </c>
      <c r="C10" s="2">
        <f>SUMIF(Data_Interim!$C:$C,$B10,Data_Interim!N:N)</f>
        <v>100000</v>
      </c>
      <c r="D10" s="2">
        <f>SUMIF(Data_Interim!$C:$C,$B10,Data_Interim!O:O)</f>
        <v>0</v>
      </c>
      <c r="E10" s="133">
        <f>SUMIF(Data_Interim!$C:$C,$B10,Data_Interim!P:P)</f>
        <v>1897.92</v>
      </c>
      <c r="F10" s="57">
        <f t="shared" si="0"/>
        <v>6.2626642235760829E-6</v>
      </c>
      <c r="G10" s="58">
        <f t="shared" si="1"/>
        <v>1897.92</v>
      </c>
      <c r="H10" s="57" t="str">
        <f t="shared" si="2"/>
        <v>▲</v>
      </c>
      <c r="I10" s="57" t="str">
        <f t="shared" si="3"/>
        <v/>
      </c>
    </row>
    <row r="11" spans="1:9" ht="15" thickBot="1" x14ac:dyDescent="0.35">
      <c r="A11" s="4" t="s">
        <v>7</v>
      </c>
      <c r="B11" s="4" t="s">
        <v>8</v>
      </c>
      <c r="C11" s="5">
        <f t="shared" ref="C11" si="4">SUM(C4:C10)</f>
        <v>179381875.45212984</v>
      </c>
      <c r="D11" s="5">
        <f t="shared" ref="D11" si="5">SUM(D4:D10)</f>
        <v>166350918.19353476</v>
      </c>
      <c r="E11" s="134">
        <f>SUM(E4:E10)</f>
        <v>132568035.51504387</v>
      </c>
      <c r="F11" s="6">
        <f t="shared" ref="F11:F23" si="6">E11/$E$19</f>
        <v>0.43744156403316725</v>
      </c>
      <c r="G11" s="5">
        <f t="shared" ref="G11:G37" si="7">E11-D11</f>
        <v>-33782882.678490892</v>
      </c>
      <c r="H11" s="39" t="str">
        <f t="shared" ref="H11:H37" si="8">IF(E11&gt;D11,"▲",IF(E11=D11,"▬","▼"))</f>
        <v>▼</v>
      </c>
      <c r="I11" s="6">
        <f t="shared" ref="I11:I37" si="9">IF(ISERROR(E11/D11-100%),"",E11/D11-100%)</f>
        <v>-0.20308203312221851</v>
      </c>
    </row>
    <row r="12" spans="1:9" x14ac:dyDescent="0.3">
      <c r="A12" s="2" t="s">
        <v>9</v>
      </c>
      <c r="B12" s="2" t="s">
        <v>169</v>
      </c>
      <c r="C12" s="2">
        <f>SUMIF(Data_Interim!$C:$C,$B12,Data_Interim!N:N)</f>
        <v>51489374.047697023</v>
      </c>
      <c r="D12" s="2">
        <f>SUMIF(Data_Interim!$C:$C,$B12,Data_Interim!O:O)</f>
        <v>68112688.748225853</v>
      </c>
      <c r="E12" s="133">
        <f>SUMIF(Data_Interim!$C:$C,$B12,Data_Interim!P:P)</f>
        <v>62075651.439672515</v>
      </c>
      <c r="F12" s="57">
        <f t="shared" si="6"/>
        <v>0.20483421926446646</v>
      </c>
      <c r="G12" s="58">
        <f t="shared" si="7"/>
        <v>-6037037.3085533381</v>
      </c>
      <c r="H12" s="57" t="str">
        <f t="shared" si="8"/>
        <v>▼</v>
      </c>
      <c r="I12" s="57">
        <f t="shared" si="9"/>
        <v>-8.8633078791953923E-2</v>
      </c>
    </row>
    <row r="13" spans="1:9" x14ac:dyDescent="0.3">
      <c r="A13" s="2" t="s">
        <v>10</v>
      </c>
      <c r="B13" s="2" t="s">
        <v>170</v>
      </c>
      <c r="C13" s="2">
        <f>SUMIF(Data_Interim!$C:$C,$B13,Data_Interim!N:N)</f>
        <v>48244633.655505948</v>
      </c>
      <c r="D13" s="2">
        <f>SUMIF(Data_Interim!$C:$C,$B13,Data_Interim!O:O)</f>
        <v>61094947.985505939</v>
      </c>
      <c r="E13" s="133">
        <f>SUMIF(Data_Interim!$C:$C,$B13,Data_Interim!P:P)</f>
        <v>63291252.495505944</v>
      </c>
      <c r="F13" s="57">
        <f t="shared" si="6"/>
        <v>0.20884540058006951</v>
      </c>
      <c r="G13" s="58">
        <f t="shared" si="7"/>
        <v>2196304.5100000054</v>
      </c>
      <c r="H13" s="57" t="str">
        <f t="shared" si="8"/>
        <v>▲</v>
      </c>
      <c r="I13" s="57">
        <f t="shared" si="9"/>
        <v>3.594903641657976E-2</v>
      </c>
    </row>
    <row r="14" spans="1:9" x14ac:dyDescent="0.3">
      <c r="A14" s="2" t="s">
        <v>11</v>
      </c>
      <c r="B14" s="2" t="s">
        <v>171</v>
      </c>
      <c r="C14" s="2">
        <f>SUMIF(Data_Interim!$C:$C,$B14,Data_Interim!N:N)</f>
        <v>181333.53999999986</v>
      </c>
      <c r="D14" s="2">
        <f>SUMIF(Data_Interim!$C:$C,$B14,Data_Interim!O:O)</f>
        <v>169077.56000000003</v>
      </c>
      <c r="E14" s="133">
        <f>SUMIF(Data_Interim!$C:$C,$B14,Data_Interim!P:P)</f>
        <v>-0.47000000020489097</v>
      </c>
      <c r="F14" s="57">
        <f t="shared" si="6"/>
        <v>-1.5508831701883757E-9</v>
      </c>
      <c r="G14" s="58">
        <f t="shared" si="7"/>
        <v>-169078.03000000023</v>
      </c>
      <c r="H14" s="57" t="str">
        <f t="shared" si="8"/>
        <v>▼</v>
      </c>
      <c r="I14" s="57">
        <f t="shared" si="9"/>
        <v>-1.0000027797893476</v>
      </c>
    </row>
    <row r="15" spans="1:9" x14ac:dyDescent="0.3">
      <c r="A15" s="2" t="s">
        <v>12</v>
      </c>
      <c r="B15" s="7" t="s">
        <v>172</v>
      </c>
      <c r="C15" s="7">
        <f>SUMIF(Data_Interim!$C:$C,$B15,Data_Interim!N:N)</f>
        <v>1134334.22655</v>
      </c>
      <c r="D15" s="7">
        <f>SUMIF(Data_Interim!$C:$C,$B15,Data_Interim!O:O)</f>
        <v>2331595.1665500002</v>
      </c>
      <c r="E15" s="135">
        <f>SUMIF(Data_Interim!$C:$C,$B15,Data_Interim!P:P)</f>
        <v>2692413.0665500001</v>
      </c>
      <c r="F15" s="57">
        <f t="shared" si="6"/>
        <v>8.8842938516752318E-3</v>
      </c>
      <c r="G15" s="58">
        <f t="shared" si="7"/>
        <v>360817.89999999991</v>
      </c>
      <c r="H15" s="57" t="str">
        <f t="shared" si="8"/>
        <v>▲</v>
      </c>
      <c r="I15" s="57">
        <f t="shared" si="9"/>
        <v>0.15475152169486295</v>
      </c>
    </row>
    <row r="16" spans="1:9" x14ac:dyDescent="0.3">
      <c r="A16" s="2" t="s">
        <v>13</v>
      </c>
      <c r="B16" s="2" t="s">
        <v>173</v>
      </c>
      <c r="C16" s="2">
        <f>SUMIF(Data_Interim!$C:$C,$B16,Data_Interim!N:N)</f>
        <v>14747960.913582001</v>
      </c>
      <c r="D16" s="2">
        <f>SUMIF(Data_Interim!$C:$C,$B16,Data_Interim!O:O)</f>
        <v>12918268.456017001</v>
      </c>
      <c r="E16" s="133">
        <f>SUMIF(Data_Interim!$C:$C,$B16,Data_Interim!P:P)</f>
        <v>42425778.736639999</v>
      </c>
      <c r="F16" s="57">
        <f t="shared" si="6"/>
        <v>0.13999452382150471</v>
      </c>
      <c r="G16" s="58">
        <f t="shared" si="7"/>
        <v>29507510.280622996</v>
      </c>
      <c r="H16" s="57" t="str">
        <f t="shared" si="8"/>
        <v>▲</v>
      </c>
      <c r="I16" s="57">
        <f t="shared" si="9"/>
        <v>2.2841691501525618</v>
      </c>
    </row>
    <row r="17" spans="1:9" ht="15" thickBot="1" x14ac:dyDescent="0.35">
      <c r="A17" s="2" t="s">
        <v>14</v>
      </c>
      <c r="B17" s="2" t="s">
        <v>168</v>
      </c>
      <c r="C17" s="2">
        <f>SUMIF(Data_Interim!$C:$C,$B17,Data_Interim!N:N)</f>
        <v>70845</v>
      </c>
      <c r="D17" s="2">
        <f>SUMIF(Data_Interim!$C:$C,$B17,Data_Interim!O:O)</f>
        <v>3760154.57</v>
      </c>
      <c r="E17" s="133">
        <f>SUMIF(Data_Interim!$C:$C,$B17,Data_Interim!P:P)</f>
        <v>0</v>
      </c>
      <c r="F17" s="57">
        <f t="shared" si="6"/>
        <v>0</v>
      </c>
      <c r="G17" s="58">
        <f t="shared" si="7"/>
        <v>-3760154.57</v>
      </c>
      <c r="H17" s="57" t="str">
        <f t="shared" si="8"/>
        <v>▼</v>
      </c>
      <c r="I17" s="57">
        <f t="shared" si="9"/>
        <v>-1</v>
      </c>
    </row>
    <row r="18" spans="1:9" ht="15" thickBot="1" x14ac:dyDescent="0.35">
      <c r="A18" s="4" t="s">
        <v>15</v>
      </c>
      <c r="B18" s="4" t="s">
        <v>16</v>
      </c>
      <c r="C18" s="5">
        <f>SUM(C12:C17)</f>
        <v>115868481.38333496</v>
      </c>
      <c r="D18" s="5">
        <f>SUM(D12:D17)</f>
        <v>148386732.48629877</v>
      </c>
      <c r="E18" s="134">
        <f>SUM(E12:E17)</f>
        <v>170485095.26836845</v>
      </c>
      <c r="F18" s="6">
        <f t="shared" si="6"/>
        <v>0.56255843596683275</v>
      </c>
      <c r="G18" s="5">
        <f t="shared" si="7"/>
        <v>22098362.782069683</v>
      </c>
      <c r="H18" s="39" t="str">
        <f t="shared" si="8"/>
        <v>▲</v>
      </c>
      <c r="I18" s="6">
        <f t="shared" si="9"/>
        <v>0.14892411478977841</v>
      </c>
    </row>
    <row r="19" spans="1:9" ht="15" thickBot="1" x14ac:dyDescent="0.35">
      <c r="A19" s="4" t="s">
        <v>17</v>
      </c>
      <c r="B19" s="4" t="s">
        <v>18</v>
      </c>
      <c r="C19" s="5">
        <f>C18+C11</f>
        <v>295250356.83546484</v>
      </c>
      <c r="D19" s="5">
        <f>D18+D11</f>
        <v>314737650.67983353</v>
      </c>
      <c r="E19" s="134">
        <f>E18+E11</f>
        <v>303053130.78341234</v>
      </c>
      <c r="F19" s="6">
        <f t="shared" si="6"/>
        <v>1</v>
      </c>
      <c r="G19" s="5">
        <f t="shared" si="7"/>
        <v>-11684519.896421194</v>
      </c>
      <c r="H19" s="39" t="str">
        <f t="shared" si="8"/>
        <v>▼</v>
      </c>
      <c r="I19" s="6">
        <f t="shared" si="9"/>
        <v>-3.7124633392867423E-2</v>
      </c>
    </row>
    <row r="20" spans="1:9" x14ac:dyDescent="0.3">
      <c r="A20" s="2" t="s">
        <v>19</v>
      </c>
      <c r="B20" s="2" t="s">
        <v>20</v>
      </c>
      <c r="C20" s="2">
        <f>SUMIF(Data_Interim!$C:$C,$B20,Data_Interim!N:N)</f>
        <v>26412210.343440004</v>
      </c>
      <c r="D20" s="2">
        <f>SUMIF(Data_Interim!$C:$C,$B20,Data_Interim!O:O)</f>
        <v>26412209.943440005</v>
      </c>
      <c r="E20" s="133">
        <f>SUMIF(Data_Interim!$C:$C,$B20,Data_Interim!P:P)</f>
        <v>26412210.343440004</v>
      </c>
      <c r="F20" s="57">
        <f t="shared" si="6"/>
        <v>8.7153728704807296E-2</v>
      </c>
      <c r="G20" s="58">
        <f t="shared" si="7"/>
        <v>0.39999999850988388</v>
      </c>
      <c r="H20" s="57" t="str">
        <f t="shared" si="8"/>
        <v>▲</v>
      </c>
      <c r="I20" s="57">
        <f t="shared" si="9"/>
        <v>1.5144510756570639E-8</v>
      </c>
    </row>
    <row r="21" spans="1:9" x14ac:dyDescent="0.3">
      <c r="A21" s="2" t="s">
        <v>21</v>
      </c>
      <c r="B21" s="2" t="s">
        <v>22</v>
      </c>
      <c r="C21" s="2">
        <f>SUMIF(Data_Interim!$C:$C,$B21,Data_Interim!N:N)</f>
        <v>2182283</v>
      </c>
      <c r="D21" s="2">
        <f>SUMIF(Data_Interim!$C:$C,$B21,Data_Interim!O:O)</f>
        <v>2182283.2899999991</v>
      </c>
      <c r="E21" s="133">
        <f>SUMIF(Data_Interim!$C:$C,$B21,Data_Interim!P:P)</f>
        <v>2182283</v>
      </c>
      <c r="F21" s="57">
        <f t="shared" si="6"/>
        <v>7.2009914378995338E-3</v>
      </c>
      <c r="G21" s="58">
        <f t="shared" si="7"/>
        <v>-0.28999999910593033</v>
      </c>
      <c r="H21" s="57" t="str">
        <f t="shared" si="8"/>
        <v>▼</v>
      </c>
      <c r="I21" s="57">
        <f t="shared" si="9"/>
        <v>-1.3288833788926979E-7</v>
      </c>
    </row>
    <row r="22" spans="1:9" x14ac:dyDescent="0.3">
      <c r="A22" s="2" t="s">
        <v>23</v>
      </c>
      <c r="B22" s="2" t="s">
        <v>174</v>
      </c>
      <c r="C22" s="2">
        <f>SUMIF(Data_Interim!$C:$C,$B22,Data_Interim!N:N)</f>
        <v>61008851.809163399</v>
      </c>
      <c r="D22" s="2">
        <f>SUMIF(Data_Interim!$C:$C,$B22,Data_Interim!O:O)</f>
        <v>60098975.819163397</v>
      </c>
      <c r="E22" s="133">
        <f>SUMIF(Data_Interim!$C:$C,$B22,Data_Interim!P:P)</f>
        <v>61979161.865429774</v>
      </c>
      <c r="F22" s="57">
        <f t="shared" si="6"/>
        <v>0.20451582765441015</v>
      </c>
      <c r="G22" s="58">
        <f t="shared" si="7"/>
        <v>1880186.046266377</v>
      </c>
      <c r="H22" s="57" t="str">
        <f t="shared" si="8"/>
        <v>▲</v>
      </c>
      <c r="I22" s="57">
        <f t="shared" si="9"/>
        <v>3.1284826748525951E-2</v>
      </c>
    </row>
    <row r="23" spans="1:9" x14ac:dyDescent="0.3">
      <c r="A23" s="2" t="s">
        <v>24</v>
      </c>
      <c r="B23" s="2" t="s">
        <v>25</v>
      </c>
      <c r="C23" s="2">
        <f>SUMIF(Data_Interim!$C:$C,$B23,Data_Interim!N:N)</f>
        <v>49830683.22941713</v>
      </c>
      <c r="D23" s="2">
        <f>SUMIF(Data_Interim!$C:$C,$B23,Data_Interim!O:O)</f>
        <v>53827577.936433822</v>
      </c>
      <c r="E23" s="133">
        <f>SUMIF(Data_Interim!$C:$C,$B23,Data_Interim!P:P)</f>
        <v>81182094.568617523</v>
      </c>
      <c r="F23" s="57">
        <f t="shared" si="6"/>
        <v>0.26788073219622066</v>
      </c>
      <c r="G23" s="58">
        <f t="shared" si="7"/>
        <v>27354516.632183701</v>
      </c>
      <c r="H23" s="57" t="str">
        <f t="shared" si="8"/>
        <v>▲</v>
      </c>
      <c r="I23" s="57">
        <f t="shared" si="9"/>
        <v>0.50818776695632217</v>
      </c>
    </row>
    <row r="24" spans="1:9" x14ac:dyDescent="0.3">
      <c r="A24" s="2"/>
      <c r="B24" s="2" t="s">
        <v>216</v>
      </c>
      <c r="C24" s="2">
        <f t="shared" ref="C24:E24" si="10">SUM(C20:C23)</f>
        <v>139434028.38202053</v>
      </c>
      <c r="D24" s="2">
        <f t="shared" si="10"/>
        <v>142521046.98903722</v>
      </c>
      <c r="E24" s="133">
        <f t="shared" si="10"/>
        <v>171755749.77748731</v>
      </c>
      <c r="F24" s="57">
        <f t="shared" ref="F24:F25" si="11">E24/$E$19</f>
        <v>0.56675127999333763</v>
      </c>
      <c r="G24" s="58">
        <f t="shared" ref="G24:G25" si="12">E24-D24</f>
        <v>29234702.788450092</v>
      </c>
      <c r="H24" s="57" t="str">
        <f t="shared" ref="H24:H25" si="13">IF(E24&gt;D24,"▲",IF(E24=D24,"▬","▼"))</f>
        <v>▲</v>
      </c>
      <c r="I24" s="57">
        <f t="shared" ref="I24:I25" si="14">IF(ISERROR(E24/D24-100%),"",E24/D24-100%)</f>
        <v>0.2051255123792266</v>
      </c>
    </row>
    <row r="25" spans="1:9" ht="15" thickBot="1" x14ac:dyDescent="0.35">
      <c r="A25" s="2"/>
      <c r="B25" s="2" t="s">
        <v>218</v>
      </c>
      <c r="C25" s="2">
        <f>SUMIF(Data_Interim!$C:$C,$B25,Data_Interim!N:N)</f>
        <v>917868.61902258347</v>
      </c>
      <c r="D25" s="2">
        <f>SUMIF(Data_Interim!$C:$C,$B25,Data_Interim!O:O)</f>
        <v>916916.17196969548</v>
      </c>
      <c r="E25" s="133">
        <f>SUMIF(Data_Interim!$C:$C,$B25,Data_Interim!P:P)</f>
        <v>919993.82330617122</v>
      </c>
      <c r="F25" s="57">
        <f t="shared" si="11"/>
        <v>3.0357509289804284E-3</v>
      </c>
      <c r="G25" s="58">
        <f t="shared" si="12"/>
        <v>3077.6513364757411</v>
      </c>
      <c r="H25" s="57" t="str">
        <f t="shared" si="13"/>
        <v>▲</v>
      </c>
      <c r="I25" s="57">
        <f t="shared" si="14"/>
        <v>3.3565242173276832E-3</v>
      </c>
    </row>
    <row r="26" spans="1:9" ht="15" thickBot="1" x14ac:dyDescent="0.35">
      <c r="A26" s="4" t="s">
        <v>26</v>
      </c>
      <c r="B26" s="4" t="s">
        <v>27</v>
      </c>
      <c r="C26" s="5">
        <f t="shared" ref="C26:E26" si="15">C24+C25</f>
        <v>140351897.00104311</v>
      </c>
      <c r="D26" s="5">
        <f t="shared" si="15"/>
        <v>143437963.1610069</v>
      </c>
      <c r="E26" s="134">
        <f t="shared" si="15"/>
        <v>172675743.60079348</v>
      </c>
      <c r="F26" s="6">
        <f t="shared" ref="F26:F37" si="16">E26/$E$19</f>
        <v>0.56978703092231808</v>
      </c>
      <c r="G26" s="5">
        <f t="shared" si="7"/>
        <v>29237780.439786583</v>
      </c>
      <c r="H26" s="39" t="str">
        <f t="shared" si="8"/>
        <v>▲</v>
      </c>
      <c r="I26" s="6">
        <f t="shared" si="9"/>
        <v>0.20383571960630542</v>
      </c>
    </row>
    <row r="27" spans="1:9" x14ac:dyDescent="0.3">
      <c r="A27" s="2" t="s">
        <v>28</v>
      </c>
      <c r="B27" s="2" t="s">
        <v>222</v>
      </c>
      <c r="C27" s="2">
        <f>SUMIF(Data_Interim!$C:$C,$B27,Data_Interim!N:N)</f>
        <v>446038</v>
      </c>
      <c r="D27" s="2">
        <f>SUMIF(Data_Interim!$C:$C,$B27,Data_Interim!O:O)</f>
        <v>659623</v>
      </c>
      <c r="E27" s="133">
        <f>SUMIF(Data_Interim!$C:$C,$B27,Data_Interim!P:P)</f>
        <v>1429017</v>
      </c>
      <c r="F27" s="57">
        <f t="shared" si="16"/>
        <v>4.7154008813764664E-3</v>
      </c>
      <c r="G27" s="58">
        <f t="shared" si="7"/>
        <v>769394</v>
      </c>
      <c r="H27" s="57" t="str">
        <f t="shared" si="8"/>
        <v>▲</v>
      </c>
      <c r="I27" s="57">
        <f t="shared" si="9"/>
        <v>1.166414755094956</v>
      </c>
    </row>
    <row r="28" spans="1:9" x14ac:dyDescent="0.3">
      <c r="A28" s="2" t="s">
        <v>29</v>
      </c>
      <c r="B28" s="2" t="s">
        <v>31</v>
      </c>
      <c r="C28" s="2">
        <f>SUMIF(Data_Interim!$C:$C,$B28,Data_Interim!N:N)</f>
        <v>7857468</v>
      </c>
      <c r="D28" s="2">
        <f>SUMIF(Data_Interim!$C:$C,$B28,Data_Interim!O:O)</f>
        <v>8012574</v>
      </c>
      <c r="E28" s="133">
        <f>SUMIF(Data_Interim!$C:$C,$B28,Data_Interim!P:P)</f>
        <v>7780659</v>
      </c>
      <c r="F28" s="57">
        <f t="shared" si="16"/>
        <v>2.5674240618753823E-2</v>
      </c>
      <c r="G28" s="58">
        <f t="shared" si="7"/>
        <v>-231915</v>
      </c>
      <c r="H28" s="57" t="str">
        <f t="shared" si="8"/>
        <v>▼</v>
      </c>
      <c r="I28" s="57">
        <f t="shared" si="9"/>
        <v>-2.8943882452754921E-2</v>
      </c>
    </row>
    <row r="29" spans="1:9" x14ac:dyDescent="0.3">
      <c r="A29" s="2" t="s">
        <v>30</v>
      </c>
      <c r="B29" s="2" t="s">
        <v>181</v>
      </c>
      <c r="C29" s="2">
        <f>SUMIF(Data_Interim!$C:$C,$B29,Data_Interim!N:N)</f>
        <v>16262446.18</v>
      </c>
      <c r="D29" s="2">
        <f>SUMIF(Data_Interim!$C:$C,$B29,Data_Interim!O:O)</f>
        <v>5853917</v>
      </c>
      <c r="E29" s="133">
        <f>SUMIF(Data_Interim!$C:$C,$B29,Data_Interim!P:P)</f>
        <v>3725123.2532296898</v>
      </c>
      <c r="F29" s="57">
        <f t="shared" si="16"/>
        <v>1.2291980761261236E-2</v>
      </c>
      <c r="G29" s="58">
        <f t="shared" si="7"/>
        <v>-2128793.7467703102</v>
      </c>
      <c r="H29" s="57" t="str">
        <f t="shared" si="8"/>
        <v>▼</v>
      </c>
      <c r="I29" s="57">
        <f t="shared" si="9"/>
        <v>-0.36365287495027865</v>
      </c>
    </row>
    <row r="30" spans="1:9" ht="15" thickBot="1" x14ac:dyDescent="0.35">
      <c r="A30" s="2" t="s">
        <v>32</v>
      </c>
      <c r="B30" s="2" t="s">
        <v>182</v>
      </c>
      <c r="C30" s="2">
        <f>SUMIF(Data_Interim!$C:$C,$B30,Data_Interim!N:N)</f>
        <v>18824844.5</v>
      </c>
      <c r="D30" s="2">
        <f>SUMIF(Data_Interim!$C:$C,$B30,Data_Interim!O:O)</f>
        <v>15079152.24</v>
      </c>
      <c r="E30" s="133">
        <f>SUMIF(Data_Interim!$C:$C,$B30,Data_Interim!P:P)</f>
        <v>12484538.9</v>
      </c>
      <c r="F30" s="57">
        <f t="shared" si="16"/>
        <v>4.1195875019428584E-2</v>
      </c>
      <c r="G30" s="58">
        <f t="shared" si="7"/>
        <v>-2594613.34</v>
      </c>
      <c r="H30" s="57" t="str">
        <f t="shared" si="8"/>
        <v>▼</v>
      </c>
      <c r="I30" s="57">
        <f t="shared" si="9"/>
        <v>-0.17206626066930664</v>
      </c>
    </row>
    <row r="31" spans="1:9" ht="15" thickBot="1" x14ac:dyDescent="0.35">
      <c r="A31" s="4" t="s">
        <v>34</v>
      </c>
      <c r="B31" s="4" t="s">
        <v>35</v>
      </c>
      <c r="C31" s="5">
        <f>SUM(C27:C30)</f>
        <v>43390796.68</v>
      </c>
      <c r="D31" s="5">
        <f>SUM(D27:D30)</f>
        <v>29605266.240000002</v>
      </c>
      <c r="E31" s="134">
        <f>SUM(E27:E30)</f>
        <v>25419338.153229691</v>
      </c>
      <c r="F31" s="6">
        <f t="shared" si="16"/>
        <v>8.3877497280820112E-2</v>
      </c>
      <c r="G31" s="5">
        <f t="shared" si="7"/>
        <v>-4185928.086770311</v>
      </c>
      <c r="H31" s="39" t="str">
        <f t="shared" si="8"/>
        <v>▼</v>
      </c>
      <c r="I31" s="6">
        <f t="shared" si="9"/>
        <v>-0.14139133398890558</v>
      </c>
    </row>
    <row r="32" spans="1:9" x14ac:dyDescent="0.3">
      <c r="A32" s="2" t="s">
        <v>36</v>
      </c>
      <c r="B32" s="2" t="s">
        <v>226</v>
      </c>
      <c r="C32" s="2">
        <f>SUMIF(Data_Interim!$C:$C,$B32,Data_Interim!N:N)</f>
        <v>50597626.775974832</v>
      </c>
      <c r="D32" s="2">
        <f>SUMIF(Data_Interim!$C:$C,$B32,Data_Interim!O:O)</f>
        <v>62669156.625974864</v>
      </c>
      <c r="E32" s="133">
        <f>SUMIF(Data_Interim!$C:$C,$B32,Data_Interim!P:P)</f>
        <v>41716624.255974852</v>
      </c>
      <c r="F32" s="57">
        <f t="shared" si="16"/>
        <v>0.13765449031374341</v>
      </c>
      <c r="G32" s="58">
        <f t="shared" si="7"/>
        <v>-20952532.370000012</v>
      </c>
      <c r="H32" s="57" t="str">
        <f t="shared" si="8"/>
        <v>▼</v>
      </c>
      <c r="I32" s="57">
        <f t="shared" si="9"/>
        <v>-0.33433563650856102</v>
      </c>
    </row>
    <row r="33" spans="1:9" x14ac:dyDescent="0.3">
      <c r="A33" s="2" t="s">
        <v>37</v>
      </c>
      <c r="B33" s="7" t="s">
        <v>177</v>
      </c>
      <c r="C33" s="7">
        <f>SUMIF(Data_Interim!$C:$C,$B33,Data_Interim!N:N)</f>
        <v>53004232.579999998</v>
      </c>
      <c r="D33" s="7">
        <f>SUMIF(Data_Interim!$C:$C,$B33,Data_Interim!O:O)</f>
        <v>69806002.560000002</v>
      </c>
      <c r="E33" s="135">
        <f>SUMIF(Data_Interim!$C:$C,$B33,Data_Interim!P:P)</f>
        <v>52539678.416770309</v>
      </c>
      <c r="F33" s="57">
        <f t="shared" si="16"/>
        <v>0.17336787869820638</v>
      </c>
      <c r="G33" s="58">
        <f t="shared" si="7"/>
        <v>-17266324.143229693</v>
      </c>
      <c r="H33" s="57" t="str">
        <f t="shared" si="8"/>
        <v>▼</v>
      </c>
      <c r="I33" s="57">
        <f t="shared" si="9"/>
        <v>-0.2473472697192316</v>
      </c>
    </row>
    <row r="34" spans="1:9" ht="15" thickBot="1" x14ac:dyDescent="0.35">
      <c r="A34" s="2" t="s">
        <v>28</v>
      </c>
      <c r="B34" s="2" t="s">
        <v>179</v>
      </c>
      <c r="C34" s="2">
        <f>SUMIF(Data_Interim!$C:$C,$B34,Data_Interim!N:N)</f>
        <v>7905804.0758749992</v>
      </c>
      <c r="D34" s="2">
        <f>SUMIF(Data_Interim!$C:$C,$B34,Data_Interim!O:O)</f>
        <v>9219262.0958749987</v>
      </c>
      <c r="E34" s="133">
        <f>SUMIF(Data_Interim!$C:$C,$B34,Data_Interim!P:P)</f>
        <v>10701746.745875001</v>
      </c>
      <c r="F34" s="57">
        <f t="shared" si="16"/>
        <v>3.5313104069277484E-2</v>
      </c>
      <c r="G34" s="58">
        <f t="shared" si="7"/>
        <v>1482484.6500000022</v>
      </c>
      <c r="H34" s="57" t="str">
        <f t="shared" si="8"/>
        <v>▲</v>
      </c>
      <c r="I34" s="57">
        <f t="shared" si="9"/>
        <v>0.16080296173197151</v>
      </c>
    </row>
    <row r="35" spans="1:9" ht="15" thickBot="1" x14ac:dyDescent="0.35">
      <c r="A35" s="4" t="s">
        <v>38</v>
      </c>
      <c r="B35" s="4" t="s">
        <v>39</v>
      </c>
      <c r="C35" s="4">
        <f>SUM(C32:C34)</f>
        <v>111507663.43184982</v>
      </c>
      <c r="D35" s="4">
        <f>SUM(D32:D34)</f>
        <v>141694421.28184986</v>
      </c>
      <c r="E35" s="136">
        <f>SUM(E32:E34)</f>
        <v>104958049.41862017</v>
      </c>
      <c r="F35" s="6">
        <f t="shared" si="16"/>
        <v>0.34633547308122731</v>
      </c>
      <c r="G35" s="5">
        <f t="shared" si="7"/>
        <v>-36736371.863229692</v>
      </c>
      <c r="H35" s="39" t="str">
        <f t="shared" si="8"/>
        <v>▼</v>
      </c>
      <c r="I35" s="6">
        <f t="shared" si="9"/>
        <v>-0.25926477225349576</v>
      </c>
    </row>
    <row r="36" spans="1:9" ht="15" thickBot="1" x14ac:dyDescent="0.35">
      <c r="A36" s="4" t="s">
        <v>40</v>
      </c>
      <c r="B36" s="4" t="s">
        <v>41</v>
      </c>
      <c r="C36" s="4">
        <f>C35+C31</f>
        <v>154898460.11184981</v>
      </c>
      <c r="D36" s="4">
        <f>D35+D31</f>
        <v>171299687.52184987</v>
      </c>
      <c r="E36" s="136">
        <f>E35+E31</f>
        <v>130377387.57184985</v>
      </c>
      <c r="F36" s="6">
        <f t="shared" si="16"/>
        <v>0.43021297036204742</v>
      </c>
      <c r="G36" s="5">
        <f t="shared" si="7"/>
        <v>-40922299.950000018</v>
      </c>
      <c r="H36" s="39" t="str">
        <f t="shared" si="8"/>
        <v>▼</v>
      </c>
      <c r="I36" s="6">
        <f t="shared" si="9"/>
        <v>-0.23889302159281656</v>
      </c>
    </row>
    <row r="37" spans="1:9" ht="15" thickBot="1" x14ac:dyDescent="0.35">
      <c r="A37" s="4" t="s">
        <v>42</v>
      </c>
      <c r="B37" s="4" t="s">
        <v>43</v>
      </c>
      <c r="C37" s="4">
        <f>C36+C26</f>
        <v>295250357.11289293</v>
      </c>
      <c r="D37" s="4">
        <f>D36+D26</f>
        <v>314737650.6828568</v>
      </c>
      <c r="E37" s="136">
        <f>E36+E26</f>
        <v>303053131.1726433</v>
      </c>
      <c r="F37" s="6">
        <f t="shared" si="16"/>
        <v>1.0000000012843655</v>
      </c>
      <c r="G37" s="5">
        <f t="shared" si="7"/>
        <v>-11684519.510213494</v>
      </c>
      <c r="H37" s="39" t="str">
        <f t="shared" si="8"/>
        <v>▼</v>
      </c>
      <c r="I37" s="6">
        <f t="shared" si="9"/>
        <v>-3.7124632165432714E-2</v>
      </c>
    </row>
    <row r="39" spans="1:9" x14ac:dyDescent="0.3">
      <c r="A39" s="25" t="s">
        <v>59</v>
      </c>
      <c r="B39" s="25" t="s">
        <v>59</v>
      </c>
      <c r="C39" s="31">
        <f>C37-C19</f>
        <v>0.27742809057235718</v>
      </c>
      <c r="D39" s="31">
        <f>D37-D19</f>
        <v>3.0232667922973633E-3</v>
      </c>
      <c r="E39" s="31">
        <f>E37-E19</f>
        <v>0.38923096656799316</v>
      </c>
    </row>
  </sheetData>
  <mergeCells count="1">
    <mergeCell ref="G3:I3"/>
  </mergeCells>
  <conditionalFormatting sqref="H20:H23 H27:H30 H32:H34 H4:H17">
    <cfRule type="expression" dxfId="147" priority="28">
      <formula>E4=D4</formula>
    </cfRule>
    <cfRule type="expression" dxfId="146" priority="29">
      <formula>E4&lt;D4</formula>
    </cfRule>
    <cfRule type="expression" dxfId="145" priority="30">
      <formula>E4&gt;D4</formula>
    </cfRule>
  </conditionalFormatting>
  <conditionalFormatting sqref="H18:H19">
    <cfRule type="expression" dxfId="144" priority="13">
      <formula>E18=D18</formula>
    </cfRule>
    <cfRule type="expression" dxfId="143" priority="14">
      <formula>E18&lt;D18</formula>
    </cfRule>
    <cfRule type="expression" dxfId="142" priority="15">
      <formula>E18&gt;D18</formula>
    </cfRule>
  </conditionalFormatting>
  <conditionalFormatting sqref="H26">
    <cfRule type="expression" dxfId="141" priority="10">
      <formula>E26=D26</formula>
    </cfRule>
    <cfRule type="expression" dxfId="140" priority="11">
      <formula>E26&lt;D26</formula>
    </cfRule>
    <cfRule type="expression" dxfId="139" priority="12">
      <formula>E26&gt;D26</formula>
    </cfRule>
  </conditionalFormatting>
  <conditionalFormatting sqref="H31">
    <cfRule type="expression" dxfId="138" priority="7">
      <formula>E31=D31</formula>
    </cfRule>
    <cfRule type="expression" dxfId="137" priority="8">
      <formula>E31&lt;D31</formula>
    </cfRule>
    <cfRule type="expression" dxfId="136" priority="9">
      <formula>E31&gt;D31</formula>
    </cfRule>
  </conditionalFormatting>
  <conditionalFormatting sqref="H35:H37">
    <cfRule type="expression" dxfId="135" priority="4">
      <formula>E35=D35</formula>
    </cfRule>
    <cfRule type="expression" dxfId="134" priority="5">
      <formula>E35&lt;D35</formula>
    </cfRule>
    <cfRule type="expression" dxfId="133" priority="6">
      <formula>E35&gt;D35</formula>
    </cfRule>
  </conditionalFormatting>
  <conditionalFormatting sqref="H24:H25">
    <cfRule type="expression" dxfId="132" priority="1">
      <formula>E24=D24</formula>
    </cfRule>
    <cfRule type="expression" dxfId="131" priority="2">
      <formula>E24&lt;D24</formula>
    </cfRule>
    <cfRule type="expression" dxfId="130" priority="3">
      <formula>E24&gt;D24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W74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Q1" sqref="Q1"/>
    </sheetView>
  </sheetViews>
  <sheetFormatPr defaultColWidth="9.109375" defaultRowHeight="14.4" x14ac:dyDescent="0.3"/>
  <cols>
    <col min="1" max="1" width="42.6640625" style="54" hidden="1" customWidth="1"/>
    <col min="2" max="2" width="37.5546875" style="54" customWidth="1"/>
    <col min="3" max="3" width="13.33203125" style="54" bestFit="1" customWidth="1"/>
    <col min="4" max="4" width="14.21875" style="54" customWidth="1"/>
    <col min="5" max="5" width="10.88671875" style="54" bestFit="1" customWidth="1"/>
    <col min="6" max="6" width="3" style="54" bestFit="1" customWidth="1"/>
    <col min="7" max="7" width="8.21875" style="54" customWidth="1"/>
    <col min="8" max="8" width="1.6640625" style="54" customWidth="1"/>
    <col min="9" max="9" width="3.6640625" style="54" customWidth="1"/>
    <col min="10" max="10" width="13.33203125" style="54" bestFit="1" customWidth="1"/>
    <col min="11" max="11" width="13.88671875" style="54" customWidth="1"/>
    <col min="12" max="12" width="11.21875" style="54" bestFit="1" customWidth="1"/>
    <col min="13" max="13" width="3" style="54" bestFit="1" customWidth="1"/>
    <col min="14" max="14" width="10.21875" style="54" customWidth="1"/>
    <col min="15" max="15" width="1.6640625" style="54" customWidth="1"/>
    <col min="16" max="16" width="3.6640625" style="54" customWidth="1"/>
    <col min="17" max="17" width="13.33203125" style="54" bestFit="1" customWidth="1"/>
    <col min="18" max="18" width="14.44140625" style="54" customWidth="1"/>
    <col min="19" max="19" width="11.109375" style="54" bestFit="1" customWidth="1"/>
    <col min="20" max="20" width="3" style="54" bestFit="1" customWidth="1"/>
    <col min="21" max="21" width="8.33203125" style="54" customWidth="1"/>
    <col min="22" max="22" width="1.6640625" style="54" customWidth="1"/>
    <col min="23" max="23" width="3.6640625" style="54" customWidth="1"/>
    <col min="24" max="16384" width="9.109375" style="54"/>
  </cols>
  <sheetData>
    <row r="1" spans="1:23" x14ac:dyDescent="0.3">
      <c r="B1" s="236" t="s">
        <v>256</v>
      </c>
      <c r="C1" s="236"/>
      <c r="D1" s="236"/>
      <c r="E1" s="236"/>
      <c r="H1" s="55"/>
      <c r="I1" s="128"/>
      <c r="O1" s="55"/>
      <c r="P1" s="128"/>
      <c r="V1" s="55"/>
      <c r="W1" s="128"/>
    </row>
    <row r="2" spans="1:23" ht="10.5" customHeight="1" x14ac:dyDescent="0.3">
      <c r="B2" s="125"/>
      <c r="C2" s="125"/>
      <c r="D2" s="125"/>
      <c r="E2" s="125"/>
      <c r="H2" s="55"/>
      <c r="I2" s="128"/>
      <c r="O2" s="55"/>
      <c r="P2" s="128"/>
      <c r="V2" s="55"/>
      <c r="W2" s="128"/>
    </row>
    <row r="3" spans="1:23" ht="11.25" customHeight="1" thickBot="1" x14ac:dyDescent="0.35">
      <c r="B3" s="77"/>
      <c r="C3" s="77"/>
      <c r="D3" s="77"/>
      <c r="E3" s="77"/>
      <c r="H3" s="55"/>
      <c r="I3" s="128"/>
      <c r="O3" s="55"/>
      <c r="P3" s="128"/>
      <c r="V3" s="55"/>
      <c r="W3" s="128"/>
    </row>
    <row r="4" spans="1:23" ht="19.5" customHeight="1" thickBot="1" x14ac:dyDescent="0.35">
      <c r="A4" s="29"/>
      <c r="B4" s="237" t="s">
        <v>0</v>
      </c>
      <c r="C4" s="131" t="s">
        <v>150</v>
      </c>
      <c r="D4" s="131" t="s">
        <v>273</v>
      </c>
      <c r="E4" s="234" t="s">
        <v>152</v>
      </c>
      <c r="F4" s="234"/>
      <c r="G4" s="234"/>
      <c r="H4" s="55"/>
      <c r="I4" s="128"/>
      <c r="J4" s="131" t="s">
        <v>150</v>
      </c>
      <c r="K4" s="131" t="s">
        <v>273</v>
      </c>
      <c r="L4" s="234" t="s">
        <v>152</v>
      </c>
      <c r="M4" s="234"/>
      <c r="N4" s="234"/>
      <c r="O4" s="55"/>
      <c r="P4" s="128"/>
      <c r="Q4" s="131" t="s">
        <v>150</v>
      </c>
      <c r="R4" s="131" t="s">
        <v>273</v>
      </c>
      <c r="S4" s="234" t="s">
        <v>152</v>
      </c>
      <c r="T4" s="234"/>
      <c r="U4" s="234"/>
      <c r="V4" s="55"/>
      <c r="W4" s="128"/>
    </row>
    <row r="5" spans="1:23" ht="15" thickBot="1" x14ac:dyDescent="0.35">
      <c r="A5" s="29" t="s">
        <v>0</v>
      </c>
      <c r="B5" s="238"/>
      <c r="C5" s="132">
        <v>2021</v>
      </c>
      <c r="D5" s="132">
        <v>2021</v>
      </c>
      <c r="E5" s="235"/>
      <c r="F5" s="235"/>
      <c r="G5" s="235"/>
      <c r="H5" s="55"/>
      <c r="I5" s="128"/>
      <c r="J5" s="132">
        <v>2022</v>
      </c>
      <c r="K5" s="132">
        <v>2022</v>
      </c>
      <c r="L5" s="235"/>
      <c r="M5" s="235"/>
      <c r="N5" s="235"/>
      <c r="O5" s="55"/>
      <c r="P5" s="128"/>
      <c r="Q5" s="132">
        <v>2023</v>
      </c>
      <c r="R5" s="132">
        <v>2023</v>
      </c>
      <c r="S5" s="235"/>
      <c r="T5" s="235"/>
      <c r="U5" s="235"/>
      <c r="V5" s="55"/>
      <c r="W5" s="128"/>
    </row>
    <row r="6" spans="1:23" x14ac:dyDescent="0.3">
      <c r="A6" s="2" t="s">
        <v>1</v>
      </c>
      <c r="B6" s="2" t="s">
        <v>2</v>
      </c>
      <c r="C6" s="2">
        <f>SUMIFS(Data_Annual_BS!$D:$D,Data_Annual_BS!$A:$A,C$5-1,Data_Annual_BS!$C:$C,$B6)</f>
        <v>144756737.42610183</v>
      </c>
      <c r="D6" s="133">
        <f>SUMIF(Data_Interim!$C:$C,$B6,Data_Interim!N:N)</f>
        <v>141545774.71566892</v>
      </c>
      <c r="E6" s="58">
        <f>D6-C6</f>
        <v>-3210962.7104329169</v>
      </c>
      <c r="F6" s="57" t="str">
        <f>IF(D6&gt;C6,"▲",IF(D6=C6,"▬","▼"))</f>
        <v>▼</v>
      </c>
      <c r="G6" s="57">
        <f>IF(ISERROR(D6/C6-100%),0,D6/C6-100%)</f>
        <v>-2.2181784195517085E-2</v>
      </c>
      <c r="H6" s="55"/>
      <c r="I6" s="128"/>
      <c r="J6" s="2">
        <f>SUMIFS(Data_Annual_BS!$D:$D,Data_Annual_BS!$A:$A,J$5-1,Data_Annual_BS!$C:$C,$B6)</f>
        <v>132497913.65999791</v>
      </c>
      <c r="K6" s="133">
        <f>SUMIF(Data_Interim!$C:$C,$B6,Data_Interim!O:O)</f>
        <v>129906556.38748705</v>
      </c>
      <c r="L6" s="58">
        <f>K6-J6</f>
        <v>-2591357.2725108564</v>
      </c>
      <c r="M6" s="57" t="str">
        <f>IF(K6&gt;J6,"▲",IF(K6=J6,"▬","▼"))</f>
        <v>▼</v>
      </c>
      <c r="N6" s="57">
        <f>IF(ISERROR(K6/J6-100%),0,K6/J6-100%)</f>
        <v>-1.9557721332582823E-2</v>
      </c>
      <c r="O6" s="55"/>
      <c r="P6" s="128"/>
      <c r="Q6" s="2">
        <f>SUMIFS(Data_Annual_BS!$D:$D,Data_Annual_BS!$A:$A,Q$5-1,Data_Annual_BS!$C:$C,$B6)</f>
        <v>123886765</v>
      </c>
      <c r="R6" s="133">
        <f>SUMIF(Data_Interim!$C:$C,$B6,Data_Interim!P:P)</f>
        <v>121854254.7980932</v>
      </c>
      <c r="S6" s="58">
        <f>R6-Q6</f>
        <v>-2032510.2019068003</v>
      </c>
      <c r="T6" s="57" t="str">
        <f>IF(R6&gt;Q6,"▲",IF(R6=Q6,"▬","▼"))</f>
        <v>▼</v>
      </c>
      <c r="U6" s="57">
        <f>IF(ISERROR(R6/Q6-100%),0,R6/Q6-100%)</f>
        <v>-1.6406193203178709E-2</v>
      </c>
      <c r="V6" s="55"/>
      <c r="W6" s="128"/>
    </row>
    <row r="7" spans="1:23" x14ac:dyDescent="0.3">
      <c r="A7" s="2" t="s">
        <v>1</v>
      </c>
      <c r="B7" s="2" t="s">
        <v>4</v>
      </c>
      <c r="C7" s="2">
        <f>SUMIFS(Data_Annual_BS!$D:$D,Data_Annual_BS!$A:$A,C$5-1,Data_Annual_BS!$C:$C,$B7)</f>
        <v>11885345.9</v>
      </c>
      <c r="D7" s="133">
        <f>SUMIF(Data_Interim!$C:$C,$B7,Data_Interim!N:N)</f>
        <v>11885346</v>
      </c>
      <c r="E7" s="58">
        <f t="shared" ref="E7:E9" si="0">D7-C7</f>
        <v>9.999999962747097E-2</v>
      </c>
      <c r="F7" s="57" t="str">
        <f t="shared" ref="F7:F9" si="1">IF(D7&gt;C7,"▲",IF(D7=C7,"▬","▼"))</f>
        <v>▲</v>
      </c>
      <c r="G7" s="57">
        <f t="shared" ref="G7:G9" si="2">IF(ISERROR(D7/C7-100%),0,D7/C7-100%)</f>
        <v>8.4137223854696686E-9</v>
      </c>
      <c r="H7" s="55"/>
      <c r="I7" s="128"/>
      <c r="J7" s="2">
        <f>SUMIFS(Data_Annual_BS!$D:$D,Data_Annual_BS!$A:$A,J$5-1,Data_Annual_BS!$C:$C,$B7)</f>
        <v>10894586</v>
      </c>
      <c r="K7" s="133">
        <f>SUMIF(Data_Interim!$C:$C,$B7,Data_Interim!O:O)</f>
        <v>10894585.9</v>
      </c>
      <c r="L7" s="58">
        <f t="shared" ref="L7:L9" si="3">K7-J7</f>
        <v>-9.999999962747097E-2</v>
      </c>
      <c r="M7" s="57" t="str">
        <f t="shared" ref="M7:M9" si="4">IF(K7&gt;J7,"▲",IF(K7=J7,"▬","▼"))</f>
        <v>▼</v>
      </c>
      <c r="N7" s="57">
        <f t="shared" ref="N7:N9" si="5">IF(ISERROR(K7/J7-100%),0,K7/J7-100%)</f>
        <v>-9.1788709966067472E-9</v>
      </c>
      <c r="O7" s="55"/>
      <c r="P7" s="128"/>
      <c r="Q7" s="2">
        <f>SUMIFS(Data_Annual_BS!$D:$D,Data_Annual_BS!$A:$A,Q$5-1,Data_Annual_BS!$C:$C,$B7)</f>
        <v>9883738</v>
      </c>
      <c r="R7" s="133">
        <f>SUMIF(Data_Interim!$C:$C,$B7,Data_Interim!P:P)</f>
        <v>9883738</v>
      </c>
      <c r="S7" s="58">
        <f t="shared" ref="S7:S9" si="6">R7-Q7</f>
        <v>0</v>
      </c>
      <c r="T7" s="57" t="str">
        <f t="shared" ref="T7:T9" si="7">IF(R7&gt;Q7,"▲",IF(R7=Q7,"▬","▼"))</f>
        <v>▬</v>
      </c>
      <c r="U7" s="57">
        <f t="shared" ref="U7:U9" si="8">IF(ISERROR(R7/Q7-100%),0,R7/Q7-100%)</f>
        <v>0</v>
      </c>
      <c r="V7" s="55"/>
      <c r="W7" s="128"/>
    </row>
    <row r="8" spans="1:23" x14ac:dyDescent="0.3">
      <c r="A8" s="2" t="s">
        <v>1</v>
      </c>
      <c r="B8" s="2" t="s">
        <v>199</v>
      </c>
      <c r="C8" s="2">
        <f>SUMIFS(Data_Annual_BS!$D:$D,Data_Annual_BS!$A:$A,C$5-1,Data_Annual_BS!$C:$C,$B8)</f>
        <v>143460.56021036324</v>
      </c>
      <c r="D8" s="133">
        <f>SUMIF(Data_Interim!$C:$C,$B8,Data_Interim!N:N)</f>
        <v>143460.56021036324</v>
      </c>
      <c r="E8" s="58">
        <f t="shared" si="0"/>
        <v>0</v>
      </c>
      <c r="F8" s="57" t="str">
        <f t="shared" si="1"/>
        <v>▬</v>
      </c>
      <c r="G8" s="57">
        <f t="shared" si="2"/>
        <v>0</v>
      </c>
      <c r="H8" s="55"/>
      <c r="I8" s="128"/>
      <c r="J8" s="2">
        <f>SUMIFS(Data_Annual_BS!$D:$D,Data_Annual_BS!$A:$A,J$5-1,Data_Annual_BS!$C:$C,$B8)</f>
        <v>143460.56021036324</v>
      </c>
      <c r="K8" s="133">
        <f>SUMIF(Data_Interim!$C:$C,$B8,Data_Interim!O:O)</f>
        <v>143460.56021036324</v>
      </c>
      <c r="L8" s="58">
        <f t="shared" si="3"/>
        <v>0</v>
      </c>
      <c r="M8" s="57" t="str">
        <f t="shared" si="4"/>
        <v>▬</v>
      </c>
      <c r="N8" s="57">
        <f t="shared" si="5"/>
        <v>0</v>
      </c>
      <c r="O8" s="55"/>
      <c r="P8" s="128"/>
      <c r="Q8" s="2">
        <f>SUMIFS(Data_Annual_BS!$D:$D,Data_Annual_BS!$A:$A,Q$5-1,Data_Annual_BS!$C:$C,$B8)</f>
        <v>143461</v>
      </c>
      <c r="R8" s="133">
        <f>SUMIF(Data_Interim!$C:$C,$B8,Data_Interim!P:P)</f>
        <v>143460.56021036324</v>
      </c>
      <c r="S8" s="58">
        <f t="shared" si="6"/>
        <v>-0.43978963675908744</v>
      </c>
      <c r="T8" s="57" t="str">
        <f t="shared" si="7"/>
        <v>▼</v>
      </c>
      <c r="U8" s="57">
        <f t="shared" si="8"/>
        <v>-3.0655692958569958E-6</v>
      </c>
      <c r="V8" s="55"/>
      <c r="W8" s="128"/>
    </row>
    <row r="9" spans="1:23" x14ac:dyDescent="0.3">
      <c r="A9" s="2" t="s">
        <v>1</v>
      </c>
      <c r="B9" s="2" t="s">
        <v>165</v>
      </c>
      <c r="C9" s="2">
        <f>SUMIFS(Data_Annual_BS!$D:$D,Data_Annual_BS!$A:$A,C$5-1,Data_Annual_BS!$C:$C,$B9)</f>
        <v>323175.72909090878</v>
      </c>
      <c r="D9" s="133">
        <f>SUMIF(Data_Interim!$C:$C,$B9,Data_Interim!N:N)</f>
        <v>300850.84090909082</v>
      </c>
      <c r="E9" s="58">
        <f t="shared" si="0"/>
        <v>-22324.888181817951</v>
      </c>
      <c r="F9" s="57" t="str">
        <f t="shared" si="1"/>
        <v>▼</v>
      </c>
      <c r="G9" s="57">
        <f t="shared" si="2"/>
        <v>-6.9079717850773381E-2</v>
      </c>
      <c r="H9" s="55"/>
      <c r="I9" s="128"/>
      <c r="J9" s="2">
        <f>SUMIFS(Data_Annual_BS!$D:$D,Data_Annual_BS!$A:$A,J$5-1,Data_Annual_BS!$C:$C,$B9)</f>
        <v>298466.16272727284</v>
      </c>
      <c r="K9" s="133">
        <f>SUMIF(Data_Interim!$C:$C,$B9,Data_Interim!O:O)</f>
        <v>301247.40181818209</v>
      </c>
      <c r="L9" s="58">
        <f t="shared" si="3"/>
        <v>2781.2390909092501</v>
      </c>
      <c r="M9" s="57" t="str">
        <f t="shared" si="4"/>
        <v>▲</v>
      </c>
      <c r="N9" s="57">
        <f t="shared" si="5"/>
        <v>9.3184402060699778E-3</v>
      </c>
      <c r="O9" s="55"/>
      <c r="P9" s="128"/>
      <c r="Q9" s="2">
        <f>SUMIFS(Data_Annual_BS!$D:$D,Data_Annual_BS!$A:$A,Q$5-1,Data_Annual_BS!$C:$C,$B9)</f>
        <v>329100</v>
      </c>
      <c r="R9" s="133">
        <f>SUMIF(Data_Interim!$C:$C,$B9,Data_Interim!P:P)</f>
        <v>386709.92272727273</v>
      </c>
      <c r="S9" s="58">
        <f t="shared" si="6"/>
        <v>57609.922727272729</v>
      </c>
      <c r="T9" s="57" t="str">
        <f t="shared" si="7"/>
        <v>▲</v>
      </c>
      <c r="U9" s="57">
        <f t="shared" si="8"/>
        <v>0.17505294052650489</v>
      </c>
      <c r="V9" s="55"/>
      <c r="W9" s="128"/>
    </row>
    <row r="10" spans="1:23" ht="28.8" x14ac:dyDescent="0.3">
      <c r="A10" s="3" t="s">
        <v>3</v>
      </c>
      <c r="B10" s="3" t="s">
        <v>202</v>
      </c>
      <c r="C10" s="2">
        <f>SUMIFS(Data_Annual_BS!$D:$D,Data_Annual_BS!$A:$A,C$5-1,Data_Annual_BS!$C:$C,$B10)</f>
        <v>24469502.752227362</v>
      </c>
      <c r="D10" s="133">
        <f>SUMIF(Data_Interim!$C:$C,$B10,Data_Interim!N:N)</f>
        <v>25209478.935341436</v>
      </c>
      <c r="E10" s="58">
        <f t="shared" ref="E10:E39" si="9">D10-C10</f>
        <v>739976.18311407417</v>
      </c>
      <c r="F10" s="57" t="str">
        <f t="shared" ref="F10:F39" si="10">IF(D10&gt;C10,"▲",IF(D10=C10,"▬","▼"))</f>
        <v>▲</v>
      </c>
      <c r="G10" s="57">
        <f t="shared" ref="G10:G39" si="11">IF(ISERROR(D10/C10-100%),0,D10/C10-100%)</f>
        <v>3.0240752769147283E-2</v>
      </c>
      <c r="H10" s="55"/>
      <c r="I10" s="128"/>
      <c r="J10" s="2">
        <f>SUMIFS(Data_Annual_BS!$D:$D,Data_Annual_BS!$A:$A,J$5-1,Data_Annual_BS!$C:$C,$B10)</f>
        <v>23324616.914013024</v>
      </c>
      <c r="K10" s="133">
        <f>SUMIF(Data_Interim!$C:$C,$B10,Data_Interim!O:O)</f>
        <v>24908093.994019158</v>
      </c>
      <c r="L10" s="58">
        <f t="shared" ref="L10:L39" si="12">K10-J10</f>
        <v>1583477.0800061338</v>
      </c>
      <c r="M10" s="57" t="str">
        <f t="shared" ref="M10:M39" si="13">IF(K10&gt;J10,"▲",IF(K10=J10,"▬","▼"))</f>
        <v>▲</v>
      </c>
      <c r="N10" s="57">
        <f t="shared" ref="N10:N39" si="14">IF(ISERROR(K10/J10-100%),0,K10/J10-100%)</f>
        <v>6.7888663974361219E-2</v>
      </c>
      <c r="O10" s="55"/>
      <c r="P10" s="128"/>
      <c r="Q10" s="2">
        <f>SUMIFS(Data_Annual_BS!$D:$D,Data_Annual_BS!$A:$A,Q$5-1,Data_Annual_BS!$C:$C,$B10)</f>
        <v>0</v>
      </c>
      <c r="R10" s="133">
        <f>SUMIF(Data_Interim!$C:$C,$B10,Data_Interim!P:P)</f>
        <v>-8.5986979305744171E-2</v>
      </c>
      <c r="S10" s="58">
        <f t="shared" ref="S10:S39" si="15">R10-Q10</f>
        <v>-8.5986979305744171E-2</v>
      </c>
      <c r="T10" s="57" t="str">
        <f t="shared" ref="T10:T39" si="16">IF(R10&gt;Q10,"▲",IF(R10=Q10,"▬","▼"))</f>
        <v>▼</v>
      </c>
      <c r="U10" s="57">
        <f t="shared" ref="U10:U39" si="17">IF(ISERROR(R10/Q10-100%),0,R10/Q10-100%)</f>
        <v>0</v>
      </c>
      <c r="V10" s="55"/>
      <c r="W10" s="128"/>
    </row>
    <row r="11" spans="1:23" x14ac:dyDescent="0.3">
      <c r="A11" s="3" t="s">
        <v>5</v>
      </c>
      <c r="B11" s="2" t="s">
        <v>166</v>
      </c>
      <c r="C11" s="2">
        <f>SUMIFS(Data_Annual_BS!$D:$D,Data_Annual_BS!$A:$A,C$5-1,Data_Annual_BS!$C:$C,$B11)</f>
        <v>196963.95</v>
      </c>
      <c r="D11" s="133">
        <f>SUMIF(Data_Interim!$C:$C,$B11,Data_Interim!N:N)</f>
        <v>196964.40000000037</v>
      </c>
      <c r="E11" s="58">
        <f t="shared" si="9"/>
        <v>0.4500000003608875</v>
      </c>
      <c r="F11" s="57" t="str">
        <f t="shared" si="10"/>
        <v>▲</v>
      </c>
      <c r="G11" s="57">
        <f t="shared" si="11"/>
        <v>2.284682046438391E-6</v>
      </c>
      <c r="H11" s="55"/>
      <c r="I11" s="128"/>
      <c r="J11" s="2">
        <f>SUMIFS(Data_Annual_BS!$D:$D,Data_Annual_BS!$A:$A,J$5-1,Data_Annual_BS!$C:$C,$B11)</f>
        <v>196974.40000000037</v>
      </c>
      <c r="K11" s="133">
        <f>SUMIF(Data_Interim!$C:$C,$B11,Data_Interim!O:O)</f>
        <v>196973.95</v>
      </c>
      <c r="L11" s="58">
        <f t="shared" si="12"/>
        <v>-0.4500000003608875</v>
      </c>
      <c r="M11" s="57" t="str">
        <f t="shared" si="13"/>
        <v>▼</v>
      </c>
      <c r="N11" s="57">
        <f t="shared" si="14"/>
        <v>-2.2845608381727445E-6</v>
      </c>
      <c r="O11" s="55"/>
      <c r="P11" s="128"/>
      <c r="Q11" s="2">
        <f>SUMIFS(Data_Annual_BS!$D:$D,Data_Annual_BS!$A:$A,Q$5-1,Data_Annual_BS!$C:$C,$B11)</f>
        <v>297974</v>
      </c>
      <c r="R11" s="133">
        <f>SUMIF(Data_Interim!$C:$C,$B11,Data_Interim!P:P)</f>
        <v>297974.40000000037</v>
      </c>
      <c r="S11" s="58">
        <f t="shared" si="15"/>
        <v>0.40000000037252903</v>
      </c>
      <c r="T11" s="57" t="str">
        <f t="shared" si="16"/>
        <v>▲</v>
      </c>
      <c r="U11" s="57">
        <f t="shared" si="17"/>
        <v>1.3423990024019616E-6</v>
      </c>
      <c r="V11" s="55"/>
      <c r="W11" s="128"/>
    </row>
    <row r="12" spans="1:23" ht="15" thickBot="1" x14ac:dyDescent="0.35">
      <c r="A12" s="2" t="s">
        <v>6</v>
      </c>
      <c r="B12" s="2" t="s">
        <v>205</v>
      </c>
      <c r="C12" s="2">
        <f>SUMIFS(Data_Annual_BS!$D:$D,Data_Annual_BS!$A:$A,C$5-1,Data_Annual_BS!$C:$C,$B12)</f>
        <v>100000</v>
      </c>
      <c r="D12" s="133">
        <f>SUMIF(Data_Interim!$C:$C,$B12,Data_Interim!N:N)</f>
        <v>100000</v>
      </c>
      <c r="E12" s="58">
        <f t="shared" si="9"/>
        <v>0</v>
      </c>
      <c r="F12" s="57" t="str">
        <f t="shared" si="10"/>
        <v>▬</v>
      </c>
      <c r="G12" s="57">
        <f t="shared" si="11"/>
        <v>0</v>
      </c>
      <c r="H12" s="55"/>
      <c r="I12" s="128"/>
      <c r="J12" s="2">
        <f>SUMIFS(Data_Annual_BS!$D:$D,Data_Annual_BS!$A:$A,J$5-1,Data_Annual_BS!$C:$C,$B12)</f>
        <v>0</v>
      </c>
      <c r="K12" s="133">
        <f>SUMIF(Data_Interim!$C:$C,$B12,Data_Interim!O:O)</f>
        <v>0</v>
      </c>
      <c r="L12" s="58">
        <f t="shared" si="12"/>
        <v>0</v>
      </c>
      <c r="M12" s="57" t="str">
        <f t="shared" si="13"/>
        <v>▬</v>
      </c>
      <c r="N12" s="57">
        <f t="shared" si="14"/>
        <v>0</v>
      </c>
      <c r="O12" s="55"/>
      <c r="P12" s="128"/>
      <c r="Q12" s="2">
        <f>SUMIFS(Data_Annual_BS!$D:$D,Data_Annual_BS!$A:$A,Q$5-1,Data_Annual_BS!$C:$C,$B12)</f>
        <v>1898</v>
      </c>
      <c r="R12" s="133">
        <f>SUMIF(Data_Interim!$C:$C,$B12,Data_Interim!P:P)</f>
        <v>1897.92</v>
      </c>
      <c r="S12" s="58">
        <f t="shared" si="15"/>
        <v>-7.999999999992724E-2</v>
      </c>
      <c r="T12" s="57" t="str">
        <f t="shared" si="16"/>
        <v>▼</v>
      </c>
      <c r="U12" s="57">
        <f t="shared" si="17"/>
        <v>-4.214963119064663E-5</v>
      </c>
      <c r="V12" s="55"/>
      <c r="W12" s="128"/>
    </row>
    <row r="13" spans="1:23" ht="15" thickBot="1" x14ac:dyDescent="0.35">
      <c r="A13" s="4" t="s">
        <v>7</v>
      </c>
      <c r="B13" s="4" t="s">
        <v>8</v>
      </c>
      <c r="C13" s="5">
        <f t="shared" ref="C13" si="18">SUM(C6:C12)</f>
        <v>181875186.31763047</v>
      </c>
      <c r="D13" s="134">
        <f>SUM(D6:D12)</f>
        <v>179381875.45212984</v>
      </c>
      <c r="E13" s="5">
        <f t="shared" si="9"/>
        <v>-2493310.8655006289</v>
      </c>
      <c r="F13" s="39" t="str">
        <f t="shared" si="10"/>
        <v>▼</v>
      </c>
      <c r="G13" s="6">
        <f t="shared" si="11"/>
        <v>-1.3708911677188684E-2</v>
      </c>
      <c r="H13" s="55"/>
      <c r="I13" s="128"/>
      <c r="J13" s="5">
        <f t="shared" ref="J13" si="19">SUM(J6:J12)</f>
        <v>167356017.69694859</v>
      </c>
      <c r="K13" s="134">
        <f>SUM(K6:K12)</f>
        <v>166350918.19353476</v>
      </c>
      <c r="L13" s="5">
        <f t="shared" si="12"/>
        <v>-1005099.5034138262</v>
      </c>
      <c r="M13" s="39" t="str">
        <f t="shared" si="13"/>
        <v>▼</v>
      </c>
      <c r="N13" s="6">
        <f t="shared" si="14"/>
        <v>-6.0057565735931462E-3</v>
      </c>
      <c r="O13" s="55"/>
      <c r="P13" s="128"/>
      <c r="Q13" s="5">
        <f t="shared" ref="Q13" si="20">SUM(Q6:Q12)</f>
        <v>134542936</v>
      </c>
      <c r="R13" s="134">
        <f>SUM(R6:R12)</f>
        <v>132568035.51504387</v>
      </c>
      <c r="S13" s="5">
        <f t="shared" si="15"/>
        <v>-1974900.4849561304</v>
      </c>
      <c r="T13" s="39" t="str">
        <f t="shared" si="16"/>
        <v>▼</v>
      </c>
      <c r="U13" s="6">
        <f t="shared" si="17"/>
        <v>-1.4678589182535284E-2</v>
      </c>
      <c r="V13" s="55"/>
      <c r="W13" s="128"/>
    </row>
    <row r="14" spans="1:23" x14ac:dyDescent="0.3">
      <c r="A14" s="2" t="s">
        <v>9</v>
      </c>
      <c r="B14" s="2" t="s">
        <v>169</v>
      </c>
      <c r="C14" s="2">
        <f>SUMIFS(Data_Annual_BS!$D:$D,Data_Annual_BS!$A:$A,C$5-1,Data_Annual_BS!$C:$C,$B14)</f>
        <v>39267786.496564828</v>
      </c>
      <c r="D14" s="133">
        <f>SUMIF(Data_Interim!$C:$C,$B14,Data_Interim!N:N)</f>
        <v>51489374.047697023</v>
      </c>
      <c r="E14" s="58">
        <f t="shared" si="9"/>
        <v>12221587.551132195</v>
      </c>
      <c r="F14" s="57" t="str">
        <f t="shared" si="10"/>
        <v>▲</v>
      </c>
      <c r="G14" s="57">
        <f t="shared" si="11"/>
        <v>0.3112369868925855</v>
      </c>
      <c r="H14" s="55"/>
      <c r="I14" s="128"/>
      <c r="J14" s="2">
        <f>SUMIFS(Data_Annual_BS!$D:$D,Data_Annual_BS!$A:$A,J$5-1,Data_Annual_BS!$C:$C,$B14)</f>
        <v>54803658.57558158</v>
      </c>
      <c r="K14" s="133">
        <f>SUMIF(Data_Interim!$C:$C,$B14,Data_Interim!O:O)</f>
        <v>68112688.748225853</v>
      </c>
      <c r="L14" s="58">
        <f t="shared" si="12"/>
        <v>13309030.172644272</v>
      </c>
      <c r="M14" s="57" t="str">
        <f t="shared" si="13"/>
        <v>▲</v>
      </c>
      <c r="N14" s="57">
        <f t="shared" si="14"/>
        <v>0.24284930091463397</v>
      </c>
      <c r="O14" s="55"/>
      <c r="P14" s="128"/>
      <c r="Q14" s="2">
        <f>SUMIFS(Data_Annual_BS!$D:$D,Data_Annual_BS!$A:$A,Q$5-1,Data_Annual_BS!$C:$C,$B14)</f>
        <v>65899751</v>
      </c>
      <c r="R14" s="133">
        <f>SUMIF(Data_Interim!$C:$C,$B14,Data_Interim!P:P)</f>
        <v>62075651.439672515</v>
      </c>
      <c r="S14" s="58">
        <f t="shared" si="15"/>
        <v>-3824099.5603274852</v>
      </c>
      <c r="T14" s="57" t="str">
        <f t="shared" si="16"/>
        <v>▼</v>
      </c>
      <c r="U14" s="57">
        <f t="shared" si="17"/>
        <v>-5.8029044151130194E-2</v>
      </c>
      <c r="V14" s="55"/>
      <c r="W14" s="128"/>
    </row>
    <row r="15" spans="1:23" x14ac:dyDescent="0.3">
      <c r="A15" s="2" t="s">
        <v>10</v>
      </c>
      <c r="B15" s="2" t="s">
        <v>170</v>
      </c>
      <c r="C15" s="2">
        <f>SUMIFS(Data_Annual_BS!$D:$D,Data_Annual_BS!$A:$A,C$5-1,Data_Annual_BS!$C:$C,$B15)</f>
        <v>36180344.175505936</v>
      </c>
      <c r="D15" s="133">
        <f>SUMIF(Data_Interim!$C:$C,$B15,Data_Interim!N:N)</f>
        <v>48244633.655505948</v>
      </c>
      <c r="E15" s="58">
        <f t="shared" si="9"/>
        <v>12064289.480000012</v>
      </c>
      <c r="F15" s="57" t="str">
        <f t="shared" si="10"/>
        <v>▲</v>
      </c>
      <c r="G15" s="57">
        <f t="shared" si="11"/>
        <v>0.33344872070530296</v>
      </c>
      <c r="H15" s="55"/>
      <c r="I15" s="128"/>
      <c r="J15" s="2">
        <f>SUMIFS(Data_Annual_BS!$D:$D,Data_Annual_BS!$A:$A,J$5-1,Data_Annual_BS!$C:$C,$B15)</f>
        <v>53054233.585505947</v>
      </c>
      <c r="K15" s="133">
        <f>SUMIF(Data_Interim!$C:$C,$B15,Data_Interim!O:O)</f>
        <v>61094947.985505939</v>
      </c>
      <c r="L15" s="58">
        <f t="shared" si="12"/>
        <v>8040714.3999999911</v>
      </c>
      <c r="M15" s="57" t="str">
        <f t="shared" si="13"/>
        <v>▲</v>
      </c>
      <c r="N15" s="57">
        <f t="shared" si="14"/>
        <v>0.15155650843661728</v>
      </c>
      <c r="O15" s="55"/>
      <c r="P15" s="128"/>
      <c r="Q15" s="2">
        <f>SUMIFS(Data_Annual_BS!$D:$D,Data_Annual_BS!$A:$A,Q$5-1,Data_Annual_BS!$C:$C,$B15)</f>
        <v>60979526</v>
      </c>
      <c r="R15" s="133">
        <f>SUMIF(Data_Interim!$C:$C,$B15,Data_Interim!P:P)</f>
        <v>63291252.495505944</v>
      </c>
      <c r="S15" s="58">
        <f t="shared" si="15"/>
        <v>2311726.4955059439</v>
      </c>
      <c r="T15" s="57" t="str">
        <f t="shared" si="16"/>
        <v>▲</v>
      </c>
      <c r="U15" s="57">
        <f t="shared" si="17"/>
        <v>3.790987971119919E-2</v>
      </c>
      <c r="V15" s="55"/>
      <c r="W15" s="128"/>
    </row>
    <row r="16" spans="1:23" x14ac:dyDescent="0.3">
      <c r="A16" s="2" t="s">
        <v>11</v>
      </c>
      <c r="B16" s="2" t="s">
        <v>171</v>
      </c>
      <c r="C16" s="2">
        <f>SUMIFS(Data_Annual_BS!$D:$D,Data_Annual_BS!$A:$A,C$5-1,Data_Annual_BS!$C:$C,$B16)</f>
        <v>181047.34791506856</v>
      </c>
      <c r="D16" s="133">
        <f>SUMIF(Data_Interim!$C:$C,$B16,Data_Interim!N:N)</f>
        <v>181333.53999999986</v>
      </c>
      <c r="E16" s="58">
        <f t="shared" si="9"/>
        <v>286.19208493130282</v>
      </c>
      <c r="F16" s="57" t="str">
        <f t="shared" si="10"/>
        <v>▲</v>
      </c>
      <c r="G16" s="57">
        <f t="shared" si="11"/>
        <v>1.5807582283147159E-3</v>
      </c>
      <c r="H16" s="55"/>
      <c r="I16" s="128"/>
      <c r="J16" s="2">
        <f>SUMIFS(Data_Annual_BS!$D:$D,Data_Annual_BS!$A:$A,J$5-1,Data_Annual_BS!$C:$C,$B16)</f>
        <v>617901.78</v>
      </c>
      <c r="K16" s="133">
        <f>SUMIF(Data_Interim!$C:$C,$B16,Data_Interim!O:O)</f>
        <v>169077.56000000003</v>
      </c>
      <c r="L16" s="58">
        <f t="shared" si="12"/>
        <v>-448824.22</v>
      </c>
      <c r="M16" s="57" t="str">
        <f t="shared" si="13"/>
        <v>▼</v>
      </c>
      <c r="N16" s="57">
        <f t="shared" si="14"/>
        <v>-0.72636822635468046</v>
      </c>
      <c r="O16" s="55"/>
      <c r="P16" s="128"/>
      <c r="Q16" s="2">
        <f>SUMIFS(Data_Annual_BS!$D:$D,Data_Annual_BS!$A:$A,Q$5-1,Data_Annual_BS!$C:$C,$B16)</f>
        <v>263414</v>
      </c>
      <c r="R16" s="133">
        <f>SUMIF(Data_Interim!$C:$C,$B16,Data_Interim!P:P)</f>
        <v>-0.47000000020489097</v>
      </c>
      <c r="S16" s="58">
        <f t="shared" si="15"/>
        <v>-263414.4700000002</v>
      </c>
      <c r="T16" s="57" t="str">
        <f t="shared" si="16"/>
        <v>▼</v>
      </c>
      <c r="U16" s="57">
        <f t="shared" si="17"/>
        <v>-1.0000017842635556</v>
      </c>
      <c r="V16" s="55"/>
      <c r="W16" s="128"/>
    </row>
    <row r="17" spans="1:23" x14ac:dyDescent="0.3">
      <c r="A17" s="2" t="s">
        <v>12</v>
      </c>
      <c r="B17" s="7" t="s">
        <v>172</v>
      </c>
      <c r="C17" s="7">
        <f>SUMIFS(Data_Annual_BS!$D:$D,Data_Annual_BS!$A:$A,C$5-1,Data_Annual_BS!$C:$C,$B17)</f>
        <v>1236390.7065499998</v>
      </c>
      <c r="D17" s="135">
        <f>SUMIF(Data_Interim!$C:$C,$B17,Data_Interim!N:N)</f>
        <v>1134334.22655</v>
      </c>
      <c r="E17" s="58">
        <f t="shared" si="9"/>
        <v>-102056.47999999975</v>
      </c>
      <c r="F17" s="57" t="str">
        <f t="shared" si="10"/>
        <v>▼</v>
      </c>
      <c r="G17" s="57">
        <f>IF(ISERROR(D17/C17-100%),0,D17/C17-100%)</f>
        <v>-8.2543875054493232E-2</v>
      </c>
      <c r="H17" s="55"/>
      <c r="I17" s="128"/>
      <c r="J17" s="7">
        <f>SUMIFS(Data_Annual_BS!$D:$D,Data_Annual_BS!$A:$A,J$5-1,Data_Annual_BS!$C:$C,$B17)</f>
        <v>4621551.3065499999</v>
      </c>
      <c r="K17" s="135">
        <f>SUMIF(Data_Interim!$C:$C,$B17,Data_Interim!O:O)</f>
        <v>2331595.1665500002</v>
      </c>
      <c r="L17" s="58">
        <f t="shared" si="12"/>
        <v>-2289956.1399999997</v>
      </c>
      <c r="M17" s="57" t="str">
        <f t="shared" si="13"/>
        <v>▼</v>
      </c>
      <c r="N17" s="57">
        <f t="shared" si="14"/>
        <v>-0.49549512449521149</v>
      </c>
      <c r="O17" s="55"/>
      <c r="P17" s="128"/>
      <c r="Q17" s="7">
        <f>SUMIFS(Data_Annual_BS!$D:$D,Data_Annual_BS!$A:$A,Q$5-1,Data_Annual_BS!$C:$C,$B17)</f>
        <v>4796687</v>
      </c>
      <c r="R17" s="135">
        <f>SUMIF(Data_Interim!$C:$C,$B17,Data_Interim!P:P)</f>
        <v>2692413.0665500001</v>
      </c>
      <c r="S17" s="58">
        <f t="shared" si="15"/>
        <v>-2104273.9334499999</v>
      </c>
      <c r="T17" s="57" t="str">
        <f t="shared" si="16"/>
        <v>▼</v>
      </c>
      <c r="U17" s="57">
        <f t="shared" si="17"/>
        <v>-0.43869319249932293</v>
      </c>
      <c r="V17" s="55"/>
      <c r="W17" s="128"/>
    </row>
    <row r="18" spans="1:23" x14ac:dyDescent="0.3">
      <c r="A18" s="2" t="s">
        <v>13</v>
      </c>
      <c r="B18" s="2" t="s">
        <v>173</v>
      </c>
      <c r="C18" s="2">
        <f>SUMIFS(Data_Annual_BS!$D:$D,Data_Annual_BS!$A:$A,C$5-1,Data_Annual_BS!$C:$C,$B18)</f>
        <v>20704631.823772997</v>
      </c>
      <c r="D18" s="133">
        <f>SUMIF(Data_Interim!$C:$C,$B18,Data_Interim!N:N)</f>
        <v>14747960.913582001</v>
      </c>
      <c r="E18" s="58">
        <f t="shared" si="9"/>
        <v>-5956670.9101909958</v>
      </c>
      <c r="F18" s="57" t="str">
        <f t="shared" si="10"/>
        <v>▼</v>
      </c>
      <c r="G18" s="57">
        <f t="shared" si="11"/>
        <v>-0.28769750464007593</v>
      </c>
      <c r="H18" s="55"/>
      <c r="I18" s="128"/>
      <c r="J18" s="2">
        <f>SUMIFS(Data_Annual_BS!$D:$D,Data_Annual_BS!$A:$A,J$5-1,Data_Annual_BS!$C:$C,$B18)</f>
        <v>17596892.999122001</v>
      </c>
      <c r="K18" s="133">
        <f>SUMIF(Data_Interim!$C:$C,$B18,Data_Interim!O:O)</f>
        <v>12918268.456017001</v>
      </c>
      <c r="L18" s="58">
        <f t="shared" si="12"/>
        <v>-4678624.5431050006</v>
      </c>
      <c r="M18" s="57" t="str">
        <f t="shared" si="13"/>
        <v>▼</v>
      </c>
      <c r="N18" s="57">
        <f t="shared" si="14"/>
        <v>-0.26587787647162719</v>
      </c>
      <c r="O18" s="55"/>
      <c r="P18" s="128"/>
      <c r="Q18" s="2">
        <f>SUMIFS(Data_Annual_BS!$D:$D,Data_Annual_BS!$A:$A,Q$5-1,Data_Annual_BS!$C:$C,$B18)</f>
        <v>73869061</v>
      </c>
      <c r="R18" s="133">
        <f>SUMIF(Data_Interim!$C:$C,$B18,Data_Interim!P:P)</f>
        <v>42425778.736639999</v>
      </c>
      <c r="S18" s="58">
        <f t="shared" si="15"/>
        <v>-31443282.263360001</v>
      </c>
      <c r="T18" s="57" t="str">
        <f t="shared" si="16"/>
        <v>▼</v>
      </c>
      <c r="U18" s="57">
        <f t="shared" si="17"/>
        <v>-0.42566240639447139</v>
      </c>
      <c r="V18" s="55"/>
      <c r="W18" s="128"/>
    </row>
    <row r="19" spans="1:23" ht="15" thickBot="1" x14ac:dyDescent="0.35">
      <c r="A19" s="2" t="s">
        <v>14</v>
      </c>
      <c r="B19" s="2" t="s">
        <v>168</v>
      </c>
      <c r="C19" s="2">
        <f>SUMIFS(Data_Annual_BS!$D:$D,Data_Annual_BS!$A:$A,C$5-1,Data_Annual_BS!$C:$C,$B19)</f>
        <v>70844.84</v>
      </c>
      <c r="D19" s="133">
        <f>SUMIF(Data_Interim!$C:$C,$B19,Data_Interim!N:N)</f>
        <v>70845</v>
      </c>
      <c r="E19" s="58">
        <f t="shared" si="9"/>
        <v>0.16000000000349246</v>
      </c>
      <c r="F19" s="57" t="str">
        <f t="shared" si="10"/>
        <v>▲</v>
      </c>
      <c r="G19" s="57">
        <f t="shared" si="11"/>
        <v>2.2584566499173064E-6</v>
      </c>
      <c r="H19" s="55"/>
      <c r="I19" s="128"/>
      <c r="J19" s="2">
        <f>SUMIFS(Data_Annual_BS!$D:$D,Data_Annual_BS!$A:$A,J$5-1,Data_Annual_BS!$C:$C,$B19)</f>
        <v>3760155</v>
      </c>
      <c r="K19" s="133">
        <f>SUMIF(Data_Interim!$C:$C,$B19,Data_Interim!O:O)</f>
        <v>3760154.57</v>
      </c>
      <c r="L19" s="58">
        <f t="shared" si="12"/>
        <v>-0.43000000016763806</v>
      </c>
      <c r="M19" s="57" t="str">
        <f t="shared" si="13"/>
        <v>▼</v>
      </c>
      <c r="N19" s="57">
        <f t="shared" si="14"/>
        <v>-1.1435698799022731E-7</v>
      </c>
      <c r="O19" s="55"/>
      <c r="P19" s="128"/>
      <c r="Q19" s="2">
        <f>SUMIFS(Data_Annual_BS!$D:$D,Data_Annual_BS!$A:$A,Q$5-1,Data_Annual_BS!$C:$C,$B19)</f>
        <v>3760155</v>
      </c>
      <c r="R19" s="133">
        <f>SUMIF(Data_Interim!$C:$C,$B19,Data_Interim!P:P)</f>
        <v>0</v>
      </c>
      <c r="S19" s="58">
        <f t="shared" si="15"/>
        <v>-3760155</v>
      </c>
      <c r="T19" s="57" t="str">
        <f t="shared" si="16"/>
        <v>▼</v>
      </c>
      <c r="U19" s="57">
        <f t="shared" si="17"/>
        <v>-1</v>
      </c>
      <c r="V19" s="55"/>
      <c r="W19" s="128"/>
    </row>
    <row r="20" spans="1:23" ht="15" thickBot="1" x14ac:dyDescent="0.35">
      <c r="A20" s="4" t="s">
        <v>15</v>
      </c>
      <c r="B20" s="4" t="s">
        <v>16</v>
      </c>
      <c r="C20" s="5">
        <f>SUM(C14:C19)</f>
        <v>97641045.390308842</v>
      </c>
      <c r="D20" s="134">
        <f>SUM(D14:D19)</f>
        <v>115868481.38333496</v>
      </c>
      <c r="E20" s="5">
        <f t="shared" si="9"/>
        <v>18227435.993026122</v>
      </c>
      <c r="F20" s="39" t="str">
        <f t="shared" si="10"/>
        <v>▲</v>
      </c>
      <c r="G20" s="6">
        <f t="shared" si="11"/>
        <v>0.18667800943920709</v>
      </c>
      <c r="H20" s="55"/>
      <c r="I20" s="128"/>
      <c r="J20" s="5">
        <f>SUM(J14:J19)</f>
        <v>134454393.24675953</v>
      </c>
      <c r="K20" s="134">
        <f>SUM(K14:K19)</f>
        <v>148386732.48629877</v>
      </c>
      <c r="L20" s="5">
        <f t="shared" si="12"/>
        <v>13932339.239539236</v>
      </c>
      <c r="M20" s="39" t="str">
        <f t="shared" si="13"/>
        <v>▲</v>
      </c>
      <c r="N20" s="6">
        <f t="shared" si="14"/>
        <v>0.10362130164069616</v>
      </c>
      <c r="O20" s="55"/>
      <c r="P20" s="128"/>
      <c r="Q20" s="5">
        <f>SUM(Q14:Q19)</f>
        <v>209568594</v>
      </c>
      <c r="R20" s="134">
        <f>SUM(R14:R19)</f>
        <v>170485095.26836845</v>
      </c>
      <c r="S20" s="5">
        <f t="shared" si="15"/>
        <v>-39083498.731631547</v>
      </c>
      <c r="T20" s="39" t="str">
        <f t="shared" si="16"/>
        <v>▼</v>
      </c>
      <c r="U20" s="6">
        <f t="shared" si="17"/>
        <v>-0.18649501810195634</v>
      </c>
      <c r="V20" s="55"/>
      <c r="W20" s="128"/>
    </row>
    <row r="21" spans="1:23" ht="15" thickBot="1" x14ac:dyDescent="0.35">
      <c r="A21" s="4" t="s">
        <v>17</v>
      </c>
      <c r="B21" s="4" t="s">
        <v>18</v>
      </c>
      <c r="C21" s="5">
        <f>C20+C13</f>
        <v>279516231.70793933</v>
      </c>
      <c r="D21" s="134">
        <f>D20+D13</f>
        <v>295250356.83546484</v>
      </c>
      <c r="E21" s="5">
        <f t="shared" si="9"/>
        <v>15734125.127525508</v>
      </c>
      <c r="F21" s="39" t="str">
        <f t="shared" si="10"/>
        <v>▲</v>
      </c>
      <c r="G21" s="6">
        <f t="shared" si="11"/>
        <v>5.6290559698034981E-2</v>
      </c>
      <c r="H21" s="55"/>
      <c r="I21" s="128"/>
      <c r="J21" s="5">
        <f>J20+J13</f>
        <v>301810410.94370812</v>
      </c>
      <c r="K21" s="134">
        <f>K20+K13</f>
        <v>314737650.67983353</v>
      </c>
      <c r="L21" s="5">
        <f t="shared" si="12"/>
        <v>12927239.73612541</v>
      </c>
      <c r="M21" s="39" t="str">
        <f t="shared" si="13"/>
        <v>▲</v>
      </c>
      <c r="N21" s="6">
        <f t="shared" si="14"/>
        <v>4.283231879146987E-2</v>
      </c>
      <c r="O21" s="55"/>
      <c r="P21" s="128"/>
      <c r="Q21" s="5">
        <f>Q20+Q13</f>
        <v>344111530</v>
      </c>
      <c r="R21" s="134">
        <f>R20+R13</f>
        <v>303053130.78341234</v>
      </c>
      <c r="S21" s="5">
        <f t="shared" si="15"/>
        <v>-41058399.216587663</v>
      </c>
      <c r="T21" s="39" t="str">
        <f t="shared" si="16"/>
        <v>▼</v>
      </c>
      <c r="U21" s="6">
        <f t="shared" si="17"/>
        <v>-0.11931712725983834</v>
      </c>
      <c r="V21" s="55"/>
      <c r="W21" s="128"/>
    </row>
    <row r="22" spans="1:23" x14ac:dyDescent="0.3">
      <c r="A22" s="2" t="s">
        <v>19</v>
      </c>
      <c r="B22" s="2" t="s">
        <v>20</v>
      </c>
      <c r="C22" s="2">
        <f>SUMIFS(Data_Annual_BS!$D:$D,Data_Annual_BS!$A:$A,C$5-1,Data_Annual_BS!$C:$C,$B22)</f>
        <v>26412609.943440005</v>
      </c>
      <c r="D22" s="133">
        <f>SUMIF(Data_Interim!$C:$C,$B22,Data_Interim!N:N)</f>
        <v>26412210.343440004</v>
      </c>
      <c r="E22" s="58">
        <f t="shared" si="9"/>
        <v>-399.60000000149012</v>
      </c>
      <c r="F22" s="57" t="str">
        <f t="shared" si="10"/>
        <v>▼</v>
      </c>
      <c r="G22" s="57">
        <f t="shared" si="11"/>
        <v>-1.5129137213465427E-5</v>
      </c>
      <c r="H22" s="55"/>
      <c r="I22" s="128"/>
      <c r="J22" s="2">
        <f>SUMIFS(Data_Annual_BS!$D:$D,Data_Annual_BS!$A:$A,J$5-1,Data_Annual_BS!$C:$C,$B22)</f>
        <v>26412210.343440004</v>
      </c>
      <c r="K22" s="133">
        <f>SUMIF(Data_Interim!$C:$C,$B22,Data_Interim!O:O)</f>
        <v>26412209.943440005</v>
      </c>
      <c r="L22" s="58">
        <f t="shared" si="12"/>
        <v>-0.39999999850988388</v>
      </c>
      <c r="M22" s="57" t="str">
        <f t="shared" si="13"/>
        <v>▼</v>
      </c>
      <c r="N22" s="57">
        <f t="shared" si="14"/>
        <v>-1.5144510534526034E-8</v>
      </c>
      <c r="O22" s="55"/>
      <c r="P22" s="128"/>
      <c r="Q22" s="2">
        <f>SUMIFS(Data_Annual_BS!$D:$D,Data_Annual_BS!$A:$A,Q$5-1,Data_Annual_BS!$C:$C,$B22)</f>
        <v>26412210</v>
      </c>
      <c r="R22" s="133">
        <f>SUMIF(Data_Interim!$C:$C,$B22,Data_Interim!P:P)</f>
        <v>26412210.343440004</v>
      </c>
      <c r="S22" s="58">
        <f t="shared" si="15"/>
        <v>0.34344000369310379</v>
      </c>
      <c r="T22" s="57" t="str">
        <f t="shared" si="16"/>
        <v>▲</v>
      </c>
      <c r="U22" s="57">
        <f t="shared" si="17"/>
        <v>1.3003077059536849E-8</v>
      </c>
      <c r="V22" s="55"/>
      <c r="W22" s="128"/>
    </row>
    <row r="23" spans="1:23" x14ac:dyDescent="0.3">
      <c r="A23" s="2" t="s">
        <v>21</v>
      </c>
      <c r="B23" s="2" t="s">
        <v>22</v>
      </c>
      <c r="C23" s="2">
        <f>SUMIFS(Data_Annual_BS!$D:$D,Data_Annual_BS!$A:$A,C$5-1,Data_Annual_BS!$C:$C,$B23)</f>
        <v>2182283.2899999991</v>
      </c>
      <c r="D23" s="133">
        <f>SUMIF(Data_Interim!$C:$C,$B23,Data_Interim!N:N)</f>
        <v>2182283</v>
      </c>
      <c r="E23" s="58">
        <f t="shared" si="9"/>
        <v>-0.28999999910593033</v>
      </c>
      <c r="F23" s="57" t="str">
        <f t="shared" si="10"/>
        <v>▼</v>
      </c>
      <c r="G23" s="57">
        <f t="shared" si="11"/>
        <v>-1.3288833788926979E-7</v>
      </c>
      <c r="H23" s="55"/>
      <c r="I23" s="128"/>
      <c r="J23" s="2">
        <f>SUMIFS(Data_Annual_BS!$D:$D,Data_Annual_BS!$A:$A,J$5-1,Data_Annual_BS!$C:$C,$B23)</f>
        <v>2182283</v>
      </c>
      <c r="K23" s="133">
        <f>SUMIF(Data_Interim!$C:$C,$B23,Data_Interim!O:O)</f>
        <v>2182283.2899999991</v>
      </c>
      <c r="L23" s="58">
        <f t="shared" si="12"/>
        <v>0.28999999910593033</v>
      </c>
      <c r="M23" s="57" t="str">
        <f t="shared" si="13"/>
        <v>▲</v>
      </c>
      <c r="N23" s="57">
        <f t="shared" si="14"/>
        <v>1.3288835543079358E-7</v>
      </c>
      <c r="O23" s="55"/>
      <c r="P23" s="128"/>
      <c r="Q23" s="2">
        <f>SUMIFS(Data_Annual_BS!$D:$D,Data_Annual_BS!$A:$A,Q$5-1,Data_Annual_BS!$C:$C,$B23)</f>
        <v>2182283</v>
      </c>
      <c r="R23" s="133">
        <f>SUMIF(Data_Interim!$C:$C,$B23,Data_Interim!P:P)</f>
        <v>2182283</v>
      </c>
      <c r="S23" s="58">
        <f t="shared" si="15"/>
        <v>0</v>
      </c>
      <c r="T23" s="57" t="str">
        <f t="shared" si="16"/>
        <v>▬</v>
      </c>
      <c r="U23" s="57">
        <f t="shared" si="17"/>
        <v>0</v>
      </c>
      <c r="V23" s="55"/>
      <c r="W23" s="128"/>
    </row>
    <row r="24" spans="1:23" x14ac:dyDescent="0.3">
      <c r="A24" s="2" t="s">
        <v>23</v>
      </c>
      <c r="B24" s="2" t="s">
        <v>174</v>
      </c>
      <c r="C24" s="2">
        <f>SUMIFS(Data_Annual_BS!$D:$D,Data_Annual_BS!$A:$A,C$5-1,Data_Annual_BS!$C:$C,$B24)</f>
        <v>60969177.209163398</v>
      </c>
      <c r="D24" s="133">
        <f>SUMIF(Data_Interim!$C:$C,$B24,Data_Interim!N:N)</f>
        <v>61008851.809163399</v>
      </c>
      <c r="E24" s="58">
        <f t="shared" si="9"/>
        <v>39674.60000000149</v>
      </c>
      <c r="F24" s="57" t="str">
        <f t="shared" si="10"/>
        <v>▲</v>
      </c>
      <c r="G24" s="57">
        <f t="shared" si="11"/>
        <v>6.5073208818100525E-4</v>
      </c>
      <c r="H24" s="55"/>
      <c r="I24" s="128"/>
      <c r="J24" s="2">
        <f>SUMIFS(Data_Annual_BS!$D:$D,Data_Annual_BS!$A:$A,J$5-1,Data_Annual_BS!$C:$C,$B24)</f>
        <v>60227359.809163399</v>
      </c>
      <c r="K24" s="133">
        <f>SUMIF(Data_Interim!$C:$C,$B24,Data_Interim!O:O)</f>
        <v>60098975.819163397</v>
      </c>
      <c r="L24" s="58">
        <f t="shared" si="12"/>
        <v>-128383.99000000209</v>
      </c>
      <c r="M24" s="57" t="str">
        <f t="shared" si="13"/>
        <v>▼</v>
      </c>
      <c r="N24" s="57">
        <f t="shared" si="14"/>
        <v>-2.1316556197515935E-3</v>
      </c>
      <c r="O24" s="55"/>
      <c r="P24" s="128"/>
      <c r="Q24" s="2">
        <f>SUMIFS(Data_Annual_BS!$D:$D,Data_Annual_BS!$A:$A,Q$5-1,Data_Annual_BS!$C:$C,$B24)</f>
        <v>62917677</v>
      </c>
      <c r="R24" s="133">
        <f>SUMIF(Data_Interim!$C:$C,$B24,Data_Interim!P:P)</f>
        <v>61979161.865429774</v>
      </c>
      <c r="S24" s="58">
        <f t="shared" si="15"/>
        <v>-938515.13457022607</v>
      </c>
      <c r="T24" s="57" t="str">
        <f t="shared" si="16"/>
        <v>▼</v>
      </c>
      <c r="U24" s="57">
        <f t="shared" si="17"/>
        <v>-1.4916557306625111E-2</v>
      </c>
      <c r="V24" s="55"/>
      <c r="W24" s="128"/>
    </row>
    <row r="25" spans="1:23" x14ac:dyDescent="0.3">
      <c r="A25" s="2"/>
      <c r="B25" s="2" t="s">
        <v>25</v>
      </c>
      <c r="C25" s="2">
        <f>SUMIFS(Data_Annual_BS!$D:$D,Data_Annual_BS!$A:$A,C$5-1,Data_Annual_BS!$C:$C,$B25)</f>
        <v>49237598.287676029</v>
      </c>
      <c r="D25" s="133">
        <f>SUMIF(Data_Interim!$C:$C,$B25,Data_Interim!N:N)</f>
        <v>49830683.22941713</v>
      </c>
      <c r="E25" s="58">
        <f t="shared" ref="E25" si="21">D25-C25</f>
        <v>593084.94174110144</v>
      </c>
      <c r="F25" s="57" t="str">
        <f t="shared" ref="F25" si="22">IF(D25&gt;C25,"▲",IF(D25=C25,"▬","▼"))</f>
        <v>▲</v>
      </c>
      <c r="G25" s="57">
        <f t="shared" ref="G25" si="23">IF(ISERROR(D25/C25-100%),0,D25/C25-100%)</f>
        <v>1.2045367003401308E-2</v>
      </c>
      <c r="H25" s="55"/>
      <c r="I25" s="128"/>
      <c r="J25" s="2">
        <f>SUMIFS(Data_Annual_BS!$D:$D,Data_Annual_BS!$A:$A,J$5-1,Data_Annual_BS!$C:$C,$B25)</f>
        <v>49182732.063599013</v>
      </c>
      <c r="K25" s="133">
        <f>SUMIF(Data_Interim!$C:$C,$B25,Data_Interim!O:O)</f>
        <v>53827577.936433822</v>
      </c>
      <c r="L25" s="58">
        <f t="shared" ref="L25" si="24">K25-J25</f>
        <v>4644845.8728348091</v>
      </c>
      <c r="M25" s="57" t="str">
        <f t="shared" ref="M25:M26" si="25">IF(K25&gt;J25,"▲",IF(K25=J25,"▬","▼"))</f>
        <v>▲</v>
      </c>
      <c r="N25" s="57">
        <f t="shared" ref="N25:N26" si="26">IF(ISERROR(K25/J25-100%),0,K25/J25-100%)</f>
        <v>9.4440582658736449E-2</v>
      </c>
      <c r="O25" s="55"/>
      <c r="P25" s="128"/>
      <c r="Q25" s="2">
        <f>SUMIFS(Data_Annual_BS!$D:$D,Data_Annual_BS!$A:$A,Q$5-1,Data_Annual_BS!$C:$C,$B25)</f>
        <v>77247165</v>
      </c>
      <c r="R25" s="133">
        <f>SUMIF(Data_Interim!$C:$C,$B25,Data_Interim!P:P)</f>
        <v>81182094.568617523</v>
      </c>
      <c r="S25" s="58">
        <f t="shared" ref="S25" si="27">R25-Q25</f>
        <v>3934929.5686175227</v>
      </c>
      <c r="T25" s="57" t="str">
        <f t="shared" ref="T25:T26" si="28">IF(R25&gt;Q25,"▲",IF(R25=Q25,"▬","▼"))</f>
        <v>▲</v>
      </c>
      <c r="U25" s="57">
        <f t="shared" ref="U25:U26" si="29">IF(ISERROR(R25/Q25-100%),0,R25/Q25-100%)</f>
        <v>5.0939469022811767E-2</v>
      </c>
      <c r="V25" s="55"/>
      <c r="W25" s="128"/>
    </row>
    <row r="26" spans="1:23" x14ac:dyDescent="0.3">
      <c r="A26" s="2"/>
      <c r="B26" s="2" t="s">
        <v>216</v>
      </c>
      <c r="C26" s="2">
        <f>SUM(C22:C25)</f>
        <v>138801668.73027945</v>
      </c>
      <c r="D26" s="133">
        <f t="shared" ref="D26:S26" si="30">SUM(D22:D25)</f>
        <v>139434028.38202053</v>
      </c>
      <c r="E26" s="58">
        <f t="shared" si="30"/>
        <v>632359.65174110234</v>
      </c>
      <c r="F26" s="57" t="str">
        <f t="shared" ref="F26" si="31">IF(D26&gt;C26,"▲",IF(D26=C26,"▬","▼"))</f>
        <v>▲</v>
      </c>
      <c r="G26" s="57">
        <f t="shared" ref="G26" si="32">IF(ISERROR(D26/C26-100%),0,D26/C26-100%)</f>
        <v>4.555850498958236E-3</v>
      </c>
      <c r="H26" s="55">
        <f t="shared" si="30"/>
        <v>0</v>
      </c>
      <c r="I26" s="128"/>
      <c r="J26" s="2">
        <f t="shared" si="30"/>
        <v>138004585.21620241</v>
      </c>
      <c r="K26" s="133">
        <f t="shared" si="30"/>
        <v>142521046.98903722</v>
      </c>
      <c r="L26" s="58">
        <f t="shared" si="30"/>
        <v>4516461.7728348076</v>
      </c>
      <c r="M26" s="57" t="str">
        <f t="shared" si="25"/>
        <v>▲</v>
      </c>
      <c r="N26" s="57">
        <f t="shared" si="26"/>
        <v>3.2726896470571365E-2</v>
      </c>
      <c r="O26" s="55">
        <f t="shared" si="30"/>
        <v>0</v>
      </c>
      <c r="P26" s="128"/>
      <c r="Q26" s="2">
        <f t="shared" si="30"/>
        <v>168759335</v>
      </c>
      <c r="R26" s="133">
        <f t="shared" si="30"/>
        <v>171755749.77748731</v>
      </c>
      <c r="S26" s="58">
        <f t="shared" si="30"/>
        <v>2996414.7774873003</v>
      </c>
      <c r="T26" s="57" t="str">
        <f t="shared" si="28"/>
        <v>▲</v>
      </c>
      <c r="U26" s="57">
        <f t="shared" si="29"/>
        <v>1.7755549804028936E-2</v>
      </c>
      <c r="V26" s="55"/>
      <c r="W26" s="128"/>
    </row>
    <row r="27" spans="1:23" ht="15" thickBot="1" x14ac:dyDescent="0.35">
      <c r="A27" s="2" t="s">
        <v>24</v>
      </c>
      <c r="B27" s="2" t="s">
        <v>218</v>
      </c>
      <c r="C27" s="2">
        <f>SUMIFS(Data_Annual_BS!$D:$D,Data_Annual_BS!$A:$A,C$5-1,Data_Annual_BS!$C:$C,$B27)</f>
        <v>909941.30470211047</v>
      </c>
      <c r="D27" s="133">
        <f>SUMIF(Data_Interim!$C:$C,$B27,Data_Interim!N:N)</f>
        <v>917868.61902258347</v>
      </c>
      <c r="E27" s="58">
        <f t="shared" si="9"/>
        <v>7927.3143204730004</v>
      </c>
      <c r="F27" s="57" t="str">
        <f t="shared" si="10"/>
        <v>▲</v>
      </c>
      <c r="G27" s="57">
        <f t="shared" si="11"/>
        <v>8.7118963382679659E-3</v>
      </c>
      <c r="H27" s="55"/>
      <c r="I27" s="128"/>
      <c r="J27" s="2">
        <f>SUMIFS(Data_Annual_BS!$D:$D,Data_Annual_BS!$A:$A,J$5-1,Data_Annual_BS!$C:$C,$B27)</f>
        <v>915580.80087402463</v>
      </c>
      <c r="K27" s="133">
        <f>SUMIF(Data_Interim!$C:$C,$B27,Data_Interim!O:O)</f>
        <v>916916.17196969548</v>
      </c>
      <c r="L27" s="58">
        <f t="shared" si="12"/>
        <v>1335.3710956708528</v>
      </c>
      <c r="M27" s="57" t="str">
        <f t="shared" si="13"/>
        <v>▲</v>
      </c>
      <c r="N27" s="57">
        <f t="shared" si="14"/>
        <v>1.4584961746642033E-3</v>
      </c>
      <c r="O27" s="55"/>
      <c r="P27" s="128"/>
      <c r="Q27" s="2">
        <f>SUMIFS(Data_Annual_BS!$D:$D,Data_Annual_BS!$A:$A,Q$5-1,Data_Annual_BS!$C:$C,$B27)</f>
        <v>920916</v>
      </c>
      <c r="R27" s="133">
        <f>SUMIF(Data_Interim!$C:$C,$B27,Data_Interim!P:P)</f>
        <v>919993.82330617122</v>
      </c>
      <c r="S27" s="58">
        <f t="shared" si="15"/>
        <v>-922.17669382877648</v>
      </c>
      <c r="T27" s="57" t="str">
        <f t="shared" si="16"/>
        <v>▼</v>
      </c>
      <c r="U27" s="57">
        <f t="shared" si="17"/>
        <v>-1.0013689563747041E-3</v>
      </c>
      <c r="V27" s="55"/>
      <c r="W27" s="128"/>
    </row>
    <row r="28" spans="1:23" ht="15" thickBot="1" x14ac:dyDescent="0.35">
      <c r="A28" s="4" t="s">
        <v>26</v>
      </c>
      <c r="B28" s="4" t="s">
        <v>27</v>
      </c>
      <c r="C28" s="5">
        <f>C26+C27</f>
        <v>139711610.03498155</v>
      </c>
      <c r="D28" s="134">
        <f t="shared" ref="D28:E28" si="33">D26+D27</f>
        <v>140351897.00104311</v>
      </c>
      <c r="E28" s="5">
        <f t="shared" si="33"/>
        <v>640286.96606157534</v>
      </c>
      <c r="F28" s="39" t="str">
        <f t="shared" si="10"/>
        <v>▲</v>
      </c>
      <c r="G28" s="6">
        <f t="shared" si="11"/>
        <v>4.5829188132699983E-3</v>
      </c>
      <c r="H28" s="55"/>
      <c r="I28" s="128"/>
      <c r="J28" s="5">
        <f>J26+J27</f>
        <v>138920166.01707643</v>
      </c>
      <c r="K28" s="134">
        <f t="shared" ref="K28" si="34">K26+K27</f>
        <v>143437963.1610069</v>
      </c>
      <c r="L28" s="5">
        <f t="shared" ref="L28" si="35">L26+L27</f>
        <v>4517797.143930478</v>
      </c>
      <c r="M28" s="39" t="str">
        <f t="shared" si="13"/>
        <v>▲</v>
      </c>
      <c r="N28" s="6">
        <f t="shared" si="14"/>
        <v>3.2520815900660027E-2</v>
      </c>
      <c r="O28" s="55"/>
      <c r="P28" s="128"/>
      <c r="Q28" s="5">
        <f>Q26+Q27</f>
        <v>169680251</v>
      </c>
      <c r="R28" s="134">
        <f t="shared" ref="R28" si="36">R26+R27</f>
        <v>172675743.60079348</v>
      </c>
      <c r="S28" s="5">
        <f t="shared" ref="S28" si="37">S26+S27</f>
        <v>2995492.6007934716</v>
      </c>
      <c r="T28" s="39" t="str">
        <f t="shared" si="16"/>
        <v>▲</v>
      </c>
      <c r="U28" s="6">
        <f t="shared" si="17"/>
        <v>1.7653749232098281E-2</v>
      </c>
      <c r="V28" s="55"/>
      <c r="W28" s="128"/>
    </row>
    <row r="29" spans="1:23" x14ac:dyDescent="0.3">
      <c r="A29" s="2" t="s">
        <v>28</v>
      </c>
      <c r="B29" s="2" t="s">
        <v>222</v>
      </c>
      <c r="C29" s="2">
        <f>SUMIFS(Data_Annual_BS!$D:$D,Data_Annual_BS!$A:$A,C$5-1,Data_Annual_BS!$C:$C,$B29)</f>
        <v>446038</v>
      </c>
      <c r="D29" s="133">
        <f>SUMIF(Data_Interim!$C:$C,$B29,Data_Interim!N:N)</f>
        <v>446038</v>
      </c>
      <c r="E29" s="58">
        <f t="shared" si="9"/>
        <v>0</v>
      </c>
      <c r="F29" s="57" t="str">
        <f t="shared" si="10"/>
        <v>▬</v>
      </c>
      <c r="G29" s="57">
        <f t="shared" si="11"/>
        <v>0</v>
      </c>
      <c r="H29" s="55"/>
      <c r="I29" s="128"/>
      <c r="J29" s="2">
        <f>SUMIFS(Data_Annual_BS!$D:$D,Data_Annual_BS!$A:$A,J$5-1,Data_Annual_BS!$C:$C,$B29)</f>
        <v>659623</v>
      </c>
      <c r="K29" s="133">
        <f>SUMIF(Data_Interim!$C:$C,$B29,Data_Interim!O:O)</f>
        <v>659623</v>
      </c>
      <c r="L29" s="58">
        <f t="shared" si="12"/>
        <v>0</v>
      </c>
      <c r="M29" s="57" t="str">
        <f t="shared" si="13"/>
        <v>▬</v>
      </c>
      <c r="N29" s="57">
        <f t="shared" si="14"/>
        <v>0</v>
      </c>
      <c r="O29" s="55"/>
      <c r="P29" s="128"/>
      <c r="Q29" s="2">
        <f>SUMIFS(Data_Annual_BS!$D:$D,Data_Annual_BS!$A:$A,Q$5-1,Data_Annual_BS!$C:$C,$B29)</f>
        <v>1429017</v>
      </c>
      <c r="R29" s="133">
        <f>SUMIF(Data_Interim!$C:$C,$B29,Data_Interim!P:P)</f>
        <v>1429017</v>
      </c>
      <c r="S29" s="58">
        <f t="shared" si="15"/>
        <v>0</v>
      </c>
      <c r="T29" s="57" t="str">
        <f t="shared" si="16"/>
        <v>▬</v>
      </c>
      <c r="U29" s="57">
        <f t="shared" si="17"/>
        <v>0</v>
      </c>
      <c r="V29" s="55"/>
      <c r="W29" s="128"/>
    </row>
    <row r="30" spans="1:23" s="97" customFormat="1" x14ac:dyDescent="0.3">
      <c r="A30" s="2" t="s">
        <v>29</v>
      </c>
      <c r="B30" s="94" t="s">
        <v>31</v>
      </c>
      <c r="C30" s="2">
        <f>SUMIFS(Data_Annual_BS!$D:$D,Data_Annual_BS!$A:$A,C$5-1,Data_Annual_BS!$C:$C,$B30)</f>
        <v>7852871</v>
      </c>
      <c r="D30" s="133">
        <f>SUMIF(Data_Interim!$C:$C,$B30,Data_Interim!N:N)</f>
        <v>7857468</v>
      </c>
      <c r="E30" s="95">
        <f t="shared" si="9"/>
        <v>4597</v>
      </c>
      <c r="F30" s="96" t="str">
        <f t="shared" si="10"/>
        <v>▲</v>
      </c>
      <c r="G30" s="96">
        <f t="shared" si="11"/>
        <v>5.8539099903720526E-4</v>
      </c>
      <c r="H30" s="129"/>
      <c r="I30" s="130"/>
      <c r="J30" s="2">
        <f>SUMIFS(Data_Annual_BS!$D:$D,Data_Annual_BS!$A:$A,J$5-1,Data_Annual_BS!$C:$C,$B30)</f>
        <v>8012574</v>
      </c>
      <c r="K30" s="133">
        <f>SUMIF(Data_Interim!$C:$C,$B30,Data_Interim!O:O)</f>
        <v>8012574</v>
      </c>
      <c r="L30" s="95">
        <f t="shared" si="12"/>
        <v>0</v>
      </c>
      <c r="M30" s="96" t="str">
        <f t="shared" si="13"/>
        <v>▬</v>
      </c>
      <c r="N30" s="96">
        <f t="shared" si="14"/>
        <v>0</v>
      </c>
      <c r="O30" s="129"/>
      <c r="P30" s="130"/>
      <c r="Q30" s="2">
        <f>SUMIFS(Data_Annual_BS!$D:$D,Data_Annual_BS!$A:$A,Q$5-1,Data_Annual_BS!$C:$C,$B30)</f>
        <v>7780659</v>
      </c>
      <c r="R30" s="133">
        <f>SUMIF(Data_Interim!$C:$C,$B30,Data_Interim!P:P)</f>
        <v>7780659</v>
      </c>
      <c r="S30" s="95">
        <f t="shared" si="15"/>
        <v>0</v>
      </c>
      <c r="T30" s="96" t="str">
        <f t="shared" si="16"/>
        <v>▬</v>
      </c>
      <c r="U30" s="96">
        <f t="shared" si="17"/>
        <v>0</v>
      </c>
      <c r="V30" s="129"/>
      <c r="W30" s="130"/>
    </row>
    <row r="31" spans="1:23" x14ac:dyDescent="0.3">
      <c r="A31" s="2" t="s">
        <v>30</v>
      </c>
      <c r="B31" s="2" t="s">
        <v>181</v>
      </c>
      <c r="C31" s="2">
        <f>SUMIFS(Data_Annual_BS!$D:$D,Data_Annual_BS!$A:$A,C$5-1,Data_Annual_BS!$C:$C,$B31)</f>
        <v>17856699.280000001</v>
      </c>
      <c r="D31" s="133">
        <f>SUMIF(Data_Interim!$C:$C,$B31,Data_Interim!N:N)</f>
        <v>16262446.18</v>
      </c>
      <c r="E31" s="58">
        <f t="shared" si="9"/>
        <v>-1594253.1000000015</v>
      </c>
      <c r="F31" s="57" t="str">
        <f t="shared" si="10"/>
        <v>▼</v>
      </c>
      <c r="G31" s="57">
        <f t="shared" si="11"/>
        <v>-8.9280391353490973E-2</v>
      </c>
      <c r="H31" s="55"/>
      <c r="I31" s="128"/>
      <c r="J31" s="2">
        <f>SUMIFS(Data_Annual_BS!$D:$D,Data_Annual_BS!$A:$A,J$5-1,Data_Annual_BS!$C:$C,$B31)</f>
        <v>7623546.7200000007</v>
      </c>
      <c r="K31" s="133">
        <f>SUMIF(Data_Interim!$C:$C,$B31,Data_Interim!O:O)</f>
        <v>5853917</v>
      </c>
      <c r="L31" s="58">
        <f t="shared" si="12"/>
        <v>-1769629.7200000007</v>
      </c>
      <c r="M31" s="57" t="str">
        <f t="shared" si="13"/>
        <v>▼</v>
      </c>
      <c r="N31" s="57">
        <f t="shared" si="14"/>
        <v>-0.23212682823304065</v>
      </c>
      <c r="O31" s="55"/>
      <c r="P31" s="128"/>
      <c r="Q31" s="2">
        <f>SUMIFS(Data_Annual_BS!$D:$D,Data_Annual_BS!$A:$A,Q$5-1,Data_Annual_BS!$C:$C,$B31)</f>
        <v>4044764</v>
      </c>
      <c r="R31" s="133">
        <f>SUMIF(Data_Interim!$C:$C,$B31,Data_Interim!P:P)</f>
        <v>3725123.2532296898</v>
      </c>
      <c r="S31" s="58">
        <f t="shared" si="15"/>
        <v>-319640.74677031022</v>
      </c>
      <c r="T31" s="57" t="str">
        <f t="shared" si="16"/>
        <v>▼</v>
      </c>
      <c r="U31" s="57">
        <f t="shared" si="17"/>
        <v>-7.9025808865562985E-2</v>
      </c>
      <c r="V31" s="55"/>
      <c r="W31" s="128"/>
    </row>
    <row r="32" spans="1:23" ht="15" thickBot="1" x14ac:dyDescent="0.35">
      <c r="A32" s="2" t="s">
        <v>33</v>
      </c>
      <c r="B32" s="2" t="s">
        <v>182</v>
      </c>
      <c r="C32" s="2">
        <f>SUMIFS(Data_Annual_BS!$D:$D,Data_Annual_BS!$A:$A,C$5-1,Data_Annual_BS!$C:$C,$B32)</f>
        <v>19761266.899999999</v>
      </c>
      <c r="D32" s="133">
        <f>SUMIF(Data_Interim!$C:$C,$B32,Data_Interim!N:N)</f>
        <v>18824844.5</v>
      </c>
      <c r="E32" s="58">
        <f t="shared" si="9"/>
        <v>-936422.39999999851</v>
      </c>
      <c r="F32" s="57" t="str">
        <f t="shared" si="10"/>
        <v>▼</v>
      </c>
      <c r="G32" s="57">
        <f t="shared" si="11"/>
        <v>-4.7386759398507894E-2</v>
      </c>
      <c r="H32" s="55"/>
      <c r="I32" s="128"/>
      <c r="J32" s="2">
        <f>SUMIFS(Data_Annual_BS!$D:$D,Data_Annual_BS!$A:$A,J$5-1,Data_Annual_BS!$C:$C,$B32)</f>
        <v>16015574.9</v>
      </c>
      <c r="K32" s="133">
        <f>SUMIF(Data_Interim!$C:$C,$B32,Data_Interim!O:O)</f>
        <v>15079152.24</v>
      </c>
      <c r="L32" s="58">
        <f t="shared" si="12"/>
        <v>-936422.66000000015</v>
      </c>
      <c r="M32" s="57" t="str">
        <f t="shared" si="13"/>
        <v>▼</v>
      </c>
      <c r="N32" s="57">
        <f t="shared" si="14"/>
        <v>-5.8469500211322467E-2</v>
      </c>
      <c r="O32" s="55"/>
      <c r="P32" s="128"/>
      <c r="Q32" s="2">
        <f>SUMIFS(Data_Annual_BS!$D:$D,Data_Annual_BS!$A:$A,Q$5-1,Data_Annual_BS!$C:$C,$B32)</f>
        <v>13384594</v>
      </c>
      <c r="R32" s="133">
        <f>SUMIF(Data_Interim!$C:$C,$B32,Data_Interim!P:P)</f>
        <v>12484538.9</v>
      </c>
      <c r="S32" s="58">
        <f t="shared" si="15"/>
        <v>-900055.09999999963</v>
      </c>
      <c r="T32" s="57" t="str">
        <f t="shared" si="16"/>
        <v>▼</v>
      </c>
      <c r="U32" s="57">
        <f t="shared" si="17"/>
        <v>-6.7245603415389321E-2</v>
      </c>
      <c r="V32" s="55"/>
      <c r="W32" s="128"/>
    </row>
    <row r="33" spans="1:23" ht="15" thickBot="1" x14ac:dyDescent="0.35">
      <c r="A33" s="4" t="s">
        <v>34</v>
      </c>
      <c r="B33" s="4" t="s">
        <v>35</v>
      </c>
      <c r="C33" s="5">
        <f>SUM(C29:C32)</f>
        <v>45916875.18</v>
      </c>
      <c r="D33" s="134">
        <f>SUM(D29:D32)</f>
        <v>43390796.68</v>
      </c>
      <c r="E33" s="5">
        <f t="shared" si="9"/>
        <v>-2526078.5</v>
      </c>
      <c r="F33" s="39" t="str">
        <f t="shared" si="10"/>
        <v>▼</v>
      </c>
      <c r="G33" s="6">
        <f t="shared" si="11"/>
        <v>-5.5014163966895624E-2</v>
      </c>
      <c r="H33" s="55"/>
      <c r="I33" s="128"/>
      <c r="J33" s="5">
        <f>SUM(J29:J32)</f>
        <v>32311318.620000001</v>
      </c>
      <c r="K33" s="134">
        <f>SUM(K29:K32)</f>
        <v>29605266.240000002</v>
      </c>
      <c r="L33" s="5">
        <f t="shared" si="12"/>
        <v>-2706052.379999999</v>
      </c>
      <c r="M33" s="39" t="str">
        <f t="shared" si="13"/>
        <v>▼</v>
      </c>
      <c r="N33" s="6">
        <f t="shared" si="14"/>
        <v>-8.3749363863009019E-2</v>
      </c>
      <c r="O33" s="55"/>
      <c r="P33" s="128"/>
      <c r="Q33" s="5">
        <f>SUM(Q29:Q32)</f>
        <v>26639034</v>
      </c>
      <c r="R33" s="134">
        <f>SUM(R29:R32)</f>
        <v>25419338.153229691</v>
      </c>
      <c r="S33" s="5">
        <f t="shared" si="15"/>
        <v>-1219695.8467703089</v>
      </c>
      <c r="T33" s="39" t="str">
        <f t="shared" si="16"/>
        <v>▼</v>
      </c>
      <c r="U33" s="6">
        <f t="shared" si="17"/>
        <v>-4.5786038892037473E-2</v>
      </c>
      <c r="V33" s="55"/>
      <c r="W33" s="128"/>
    </row>
    <row r="34" spans="1:23" x14ac:dyDescent="0.3">
      <c r="A34" s="2" t="s">
        <v>36</v>
      </c>
      <c r="B34" s="2" t="s">
        <v>226</v>
      </c>
      <c r="C34" s="2">
        <f>SUMIFS(Data_Annual_BS!$D:$D,Data_Annual_BS!$A:$A,C$5-1,Data_Annual_BS!$C:$C,$B34)</f>
        <v>33374993.925974838</v>
      </c>
      <c r="D34" s="133">
        <f>SUMIF(Data_Interim!$C:$C,$B34,Data_Interim!N:N)</f>
        <v>50597626.775974832</v>
      </c>
      <c r="E34" s="58">
        <f t="shared" si="9"/>
        <v>17222632.849999994</v>
      </c>
      <c r="F34" s="57" t="str">
        <f t="shared" si="10"/>
        <v>▲</v>
      </c>
      <c r="G34" s="57">
        <f t="shared" si="11"/>
        <v>0.51603403698587913</v>
      </c>
      <c r="H34" s="55"/>
      <c r="I34" s="128"/>
      <c r="J34" s="2">
        <f>SUMIFS(Data_Annual_BS!$D:$D,Data_Annual_BS!$A:$A,J$5-1,Data_Annual_BS!$C:$C,$B34)</f>
        <v>55224664.185974844</v>
      </c>
      <c r="K34" s="133">
        <f>SUMIF(Data_Interim!$C:$C,$B34,Data_Interim!O:O)</f>
        <v>62669156.625974864</v>
      </c>
      <c r="L34" s="58">
        <f t="shared" si="12"/>
        <v>7444492.44000002</v>
      </c>
      <c r="M34" s="57" t="str">
        <f t="shared" si="13"/>
        <v>▲</v>
      </c>
      <c r="N34" s="57">
        <f t="shared" si="14"/>
        <v>0.13480376114067272</v>
      </c>
      <c r="O34" s="55"/>
      <c r="P34" s="128"/>
      <c r="Q34" s="2">
        <f>SUMIFS(Data_Annual_BS!$D:$D,Data_Annual_BS!$A:$A,Q$5-1,Data_Annual_BS!$C:$C,$B34)</f>
        <v>63161506</v>
      </c>
      <c r="R34" s="133">
        <f>SUMIF(Data_Interim!$C:$C,$B34,Data_Interim!P:P)</f>
        <v>41716624.255974852</v>
      </c>
      <c r="S34" s="58">
        <f t="shared" si="15"/>
        <v>-21444881.744025148</v>
      </c>
      <c r="T34" s="57" t="str">
        <f t="shared" si="16"/>
        <v>▼</v>
      </c>
      <c r="U34" s="57">
        <f t="shared" si="17"/>
        <v>-0.33952454749931305</v>
      </c>
      <c r="V34" s="55"/>
      <c r="W34" s="128"/>
    </row>
    <row r="35" spans="1:23" x14ac:dyDescent="0.3">
      <c r="A35" s="2" t="s">
        <v>37</v>
      </c>
      <c r="B35" s="7" t="s">
        <v>177</v>
      </c>
      <c r="C35" s="7">
        <f>SUMIFS(Data_Annual_BS!$D:$D,Data_Annual_BS!$A:$A,C$5-1,Data_Annual_BS!$C:$C,$B35)</f>
        <v>52867564.909999996</v>
      </c>
      <c r="D35" s="135">
        <f>SUMIF(Data_Interim!$C:$C,$B35,Data_Interim!N:N)</f>
        <v>53004232.579999998</v>
      </c>
      <c r="E35" s="58">
        <f t="shared" si="9"/>
        <v>136667.67000000179</v>
      </c>
      <c r="F35" s="57" t="str">
        <f t="shared" si="10"/>
        <v>▲</v>
      </c>
      <c r="G35" s="57">
        <f t="shared" si="11"/>
        <v>2.5850948541445984E-3</v>
      </c>
      <c r="H35" s="55"/>
      <c r="I35" s="128"/>
      <c r="J35" s="7">
        <f>SUMIFS(Data_Annual_BS!$D:$D,Data_Annual_BS!$A:$A,J$5-1,Data_Annual_BS!$C:$C,$B35)</f>
        <v>67635179.310000002</v>
      </c>
      <c r="K35" s="135">
        <f>SUMIF(Data_Interim!$C:$C,$B35,Data_Interim!O:O)</f>
        <v>69806002.560000002</v>
      </c>
      <c r="L35" s="58">
        <f t="shared" si="12"/>
        <v>2170823.25</v>
      </c>
      <c r="M35" s="57" t="str">
        <f t="shared" si="13"/>
        <v>▲</v>
      </c>
      <c r="N35" s="57">
        <f t="shared" si="14"/>
        <v>3.2096067048927646E-2</v>
      </c>
      <c r="O35" s="55"/>
      <c r="P35" s="128"/>
      <c r="Q35" s="7">
        <f>SUMIFS(Data_Annual_BS!$D:$D,Data_Annual_BS!$A:$A,Q$5-1,Data_Annual_BS!$C:$C,$B35)</f>
        <v>74737029</v>
      </c>
      <c r="R35" s="135">
        <f>SUMIF(Data_Interim!$C:$C,$B35,Data_Interim!P:P)</f>
        <v>52539678.416770309</v>
      </c>
      <c r="S35" s="58">
        <f t="shared" si="15"/>
        <v>-22197350.583229691</v>
      </c>
      <c r="T35" s="57" t="str">
        <f t="shared" si="16"/>
        <v>▼</v>
      </c>
      <c r="U35" s="57">
        <f t="shared" si="17"/>
        <v>-0.29700606085411407</v>
      </c>
      <c r="V35" s="55"/>
      <c r="W35" s="128"/>
    </row>
    <row r="36" spans="1:23" ht="15" thickBot="1" x14ac:dyDescent="0.35">
      <c r="A36" s="2" t="s">
        <v>28</v>
      </c>
      <c r="B36" s="2" t="s">
        <v>179</v>
      </c>
      <c r="C36" s="2">
        <f>SUMIFS(Data_Annual_BS!$D:$D,Data_Annual_BS!$A:$A,C$5-1,Data_Annual_BS!$C:$C,$B36)</f>
        <v>7645188.0058750007</v>
      </c>
      <c r="D36" s="133">
        <f>SUMIF(Data_Interim!$C:$C,$B36,Data_Interim!N:N)</f>
        <v>7905804.0758749992</v>
      </c>
      <c r="E36" s="58">
        <f t="shared" si="9"/>
        <v>260616.06999999844</v>
      </c>
      <c r="F36" s="57" t="str">
        <f t="shared" si="10"/>
        <v>▲</v>
      </c>
      <c r="G36" s="93">
        <f t="shared" si="11"/>
        <v>3.4088902692742895E-2</v>
      </c>
      <c r="H36" s="55"/>
      <c r="I36" s="128"/>
      <c r="J36" s="2">
        <f>SUMIFS(Data_Annual_BS!$D:$D,Data_Annual_BS!$A:$A,J$5-1,Data_Annual_BS!$C:$C,$B36)</f>
        <v>7719083.2158749998</v>
      </c>
      <c r="K36" s="133">
        <f>SUMIF(Data_Interim!$C:$C,$B36,Data_Interim!O:O)</f>
        <v>9219262.0958749987</v>
      </c>
      <c r="L36" s="58">
        <f t="shared" si="12"/>
        <v>1500178.879999999</v>
      </c>
      <c r="M36" s="57" t="str">
        <f t="shared" si="13"/>
        <v>▲</v>
      </c>
      <c r="N36" s="93">
        <f t="shared" si="14"/>
        <v>0.19434676865702705</v>
      </c>
      <c r="O36" s="55"/>
      <c r="P36" s="128"/>
      <c r="Q36" s="2">
        <f>SUMIFS(Data_Annual_BS!$D:$D,Data_Annual_BS!$A:$A,Q$5-1,Data_Annual_BS!$C:$C,$B36)</f>
        <v>9893710</v>
      </c>
      <c r="R36" s="133">
        <f>SUMIF(Data_Interim!$C:$C,$B36,Data_Interim!P:P)</f>
        <v>10701746.745875001</v>
      </c>
      <c r="S36" s="58">
        <f t="shared" si="15"/>
        <v>808036.74587500095</v>
      </c>
      <c r="T36" s="57" t="str">
        <f t="shared" si="16"/>
        <v>▲</v>
      </c>
      <c r="U36" s="93">
        <f t="shared" si="17"/>
        <v>8.1671763764553429E-2</v>
      </c>
      <c r="V36" s="55"/>
      <c r="W36" s="128"/>
    </row>
    <row r="37" spans="1:23" ht="15" thickBot="1" x14ac:dyDescent="0.35">
      <c r="A37" s="4" t="s">
        <v>38</v>
      </c>
      <c r="B37" s="4" t="s">
        <v>39</v>
      </c>
      <c r="C37" s="4">
        <f>SUM(C34:C36)</f>
        <v>93887746.841849849</v>
      </c>
      <c r="D37" s="136">
        <f>SUM(D34:D36)</f>
        <v>111507663.43184982</v>
      </c>
      <c r="E37" s="5">
        <f t="shared" si="9"/>
        <v>17619916.589999974</v>
      </c>
      <c r="F37" s="39" t="str">
        <f t="shared" si="10"/>
        <v>▲</v>
      </c>
      <c r="G37" s="6">
        <f t="shared" si="11"/>
        <v>0.18767003344621758</v>
      </c>
      <c r="H37" s="55"/>
      <c r="I37" s="128"/>
      <c r="J37" s="4">
        <f>SUM(J34:J36)</f>
        <v>130578926.71184984</v>
      </c>
      <c r="K37" s="136">
        <f>SUM(K34:K36)</f>
        <v>141694421.28184986</v>
      </c>
      <c r="L37" s="5">
        <f t="shared" si="12"/>
        <v>11115494.570000023</v>
      </c>
      <c r="M37" s="39" t="str">
        <f t="shared" si="13"/>
        <v>▲</v>
      </c>
      <c r="N37" s="6">
        <f t="shared" si="14"/>
        <v>8.5124719967477835E-2</v>
      </c>
      <c r="O37" s="55"/>
      <c r="P37" s="128"/>
      <c r="Q37" s="4">
        <f>SUM(Q34:Q36)</f>
        <v>147792245</v>
      </c>
      <c r="R37" s="136">
        <f>SUM(R34:R36)</f>
        <v>104958049.41862017</v>
      </c>
      <c r="S37" s="5">
        <f t="shared" si="15"/>
        <v>-42834195.581379831</v>
      </c>
      <c r="T37" s="39" t="str">
        <f t="shared" si="16"/>
        <v>▼</v>
      </c>
      <c r="U37" s="6">
        <f t="shared" si="17"/>
        <v>-0.28982708518555778</v>
      </c>
      <c r="V37" s="55"/>
      <c r="W37" s="128"/>
    </row>
    <row r="38" spans="1:23" ht="15" thickBot="1" x14ac:dyDescent="0.35">
      <c r="A38" s="4" t="s">
        <v>40</v>
      </c>
      <c r="B38" s="4" t="s">
        <v>41</v>
      </c>
      <c r="C38" s="4">
        <f>C37+C33</f>
        <v>139804622.02184984</v>
      </c>
      <c r="D38" s="136">
        <f>D37+D33</f>
        <v>154898460.11184981</v>
      </c>
      <c r="E38" s="5">
        <f t="shared" si="9"/>
        <v>15093838.089999974</v>
      </c>
      <c r="F38" s="39" t="str">
        <f t="shared" si="10"/>
        <v>▲</v>
      </c>
      <c r="G38" s="6">
        <f t="shared" si="11"/>
        <v>0.10796379884808793</v>
      </c>
      <c r="H38" s="55"/>
      <c r="I38" s="128"/>
      <c r="J38" s="4">
        <f>J37+J33</f>
        <v>162890245.33184984</v>
      </c>
      <c r="K38" s="136">
        <f>K37+K33</f>
        <v>171299687.52184987</v>
      </c>
      <c r="L38" s="5">
        <f t="shared" si="12"/>
        <v>8409442.1900000274</v>
      </c>
      <c r="M38" s="39" t="str">
        <f t="shared" si="13"/>
        <v>▲</v>
      </c>
      <c r="N38" s="6">
        <f t="shared" si="14"/>
        <v>5.1626432097685138E-2</v>
      </c>
      <c r="O38" s="55"/>
      <c r="P38" s="128"/>
      <c r="Q38" s="4">
        <f>Q37+Q33</f>
        <v>174431279</v>
      </c>
      <c r="R38" s="136">
        <f>R37+R33</f>
        <v>130377387.57184985</v>
      </c>
      <c r="S38" s="5">
        <f t="shared" si="15"/>
        <v>-44053891.428150147</v>
      </c>
      <c r="T38" s="39" t="str">
        <f t="shared" si="16"/>
        <v>▼</v>
      </c>
      <c r="U38" s="6">
        <f t="shared" si="17"/>
        <v>-0.25255729179254682</v>
      </c>
      <c r="V38" s="55"/>
      <c r="W38" s="128"/>
    </row>
    <row r="39" spans="1:23" ht="15" thickBot="1" x14ac:dyDescent="0.35">
      <c r="A39" s="4" t="s">
        <v>42</v>
      </c>
      <c r="B39" s="4" t="s">
        <v>43</v>
      </c>
      <c r="C39" s="4">
        <f>C38+C28</f>
        <v>279516232.05683136</v>
      </c>
      <c r="D39" s="136">
        <f>D38+D28</f>
        <v>295250357.11289293</v>
      </c>
      <c r="E39" s="5">
        <f t="shared" si="9"/>
        <v>15734125.056061566</v>
      </c>
      <c r="F39" s="39" t="str">
        <f t="shared" si="10"/>
        <v>▲</v>
      </c>
      <c r="G39" s="6">
        <f t="shared" si="11"/>
        <v>5.6290559372103033E-2</v>
      </c>
      <c r="H39" s="55"/>
      <c r="I39" s="128"/>
      <c r="J39" s="4">
        <f>J38+J28</f>
        <v>301810411.34892631</v>
      </c>
      <c r="K39" s="136">
        <f>K38+K28</f>
        <v>314737650.6828568</v>
      </c>
      <c r="L39" s="5">
        <f t="shared" si="12"/>
        <v>12927239.333930492</v>
      </c>
      <c r="M39" s="39" t="str">
        <f t="shared" si="13"/>
        <v>▲</v>
      </c>
      <c r="N39" s="6">
        <f t="shared" si="14"/>
        <v>4.2832317401354292E-2</v>
      </c>
      <c r="O39" s="55"/>
      <c r="P39" s="128"/>
      <c r="Q39" s="4">
        <f>Q38+Q28</f>
        <v>344111530</v>
      </c>
      <c r="R39" s="136">
        <f>R38+R28</f>
        <v>303053131.1726433</v>
      </c>
      <c r="S39" s="5">
        <f t="shared" si="15"/>
        <v>-41058398.827356696</v>
      </c>
      <c r="T39" s="39" t="str">
        <f t="shared" si="16"/>
        <v>▼</v>
      </c>
      <c r="U39" s="6">
        <f t="shared" si="17"/>
        <v>-0.1193171261287197</v>
      </c>
      <c r="V39" s="55"/>
      <c r="W39" s="128"/>
    </row>
    <row r="40" spans="1:23" x14ac:dyDescent="0.3">
      <c r="H40" s="55"/>
      <c r="I40" s="128"/>
      <c r="O40" s="55"/>
      <c r="P40" s="128"/>
      <c r="V40" s="55"/>
      <c r="W40" s="128"/>
    </row>
    <row r="41" spans="1:23" x14ac:dyDescent="0.3">
      <c r="A41" s="25" t="s">
        <v>59</v>
      </c>
      <c r="B41" s="25"/>
      <c r="C41" s="76">
        <f>C39-C21</f>
        <v>0.34889203310012817</v>
      </c>
      <c r="D41" s="76">
        <f>D39-D21</f>
        <v>0.27742809057235718</v>
      </c>
      <c r="H41" s="55"/>
      <c r="I41" s="128"/>
      <c r="J41" s="76">
        <f>J39-J21</f>
        <v>0.40521818399429321</v>
      </c>
      <c r="K41" s="76">
        <f>K39-K21</f>
        <v>3.0232667922973633E-3</v>
      </c>
      <c r="O41" s="55"/>
      <c r="P41" s="128"/>
      <c r="Q41" s="76">
        <f>Q39-Q21</f>
        <v>0</v>
      </c>
      <c r="R41" s="76">
        <f>R39-R21</f>
        <v>0.38923096656799316</v>
      </c>
      <c r="V41" s="55"/>
      <c r="W41" s="128"/>
    </row>
    <row r="42" spans="1:23" x14ac:dyDescent="0.3">
      <c r="B42" s="25" t="s">
        <v>59</v>
      </c>
    </row>
    <row r="46" spans="1:23" x14ac:dyDescent="0.3">
      <c r="H46" s="76"/>
      <c r="I46" s="76"/>
      <c r="O46" s="76"/>
      <c r="P46" s="76"/>
      <c r="V46" s="76"/>
      <c r="W46" s="76"/>
    </row>
    <row r="47" spans="1:23" x14ac:dyDescent="0.3">
      <c r="H47" s="76"/>
      <c r="I47" s="76"/>
      <c r="O47" s="76"/>
      <c r="P47" s="76"/>
      <c r="V47" s="76"/>
      <c r="W47" s="76"/>
    </row>
    <row r="48" spans="1:23" x14ac:dyDescent="0.3">
      <c r="H48" s="76"/>
      <c r="I48" s="76"/>
      <c r="O48" s="76"/>
      <c r="P48" s="76"/>
      <c r="V48" s="76"/>
      <c r="W48" s="76"/>
    </row>
    <row r="49" spans="8:23" x14ac:dyDescent="0.3">
      <c r="H49" s="76"/>
      <c r="I49" s="76"/>
      <c r="O49" s="76"/>
      <c r="P49" s="76"/>
      <c r="V49" s="76"/>
      <c r="W49" s="76"/>
    </row>
    <row r="50" spans="8:23" x14ac:dyDescent="0.3">
      <c r="H50" s="76"/>
      <c r="I50" s="76"/>
      <c r="O50" s="76"/>
      <c r="P50" s="76"/>
      <c r="V50" s="76"/>
      <c r="W50" s="76"/>
    </row>
    <row r="51" spans="8:23" x14ac:dyDescent="0.3">
      <c r="H51" s="76"/>
      <c r="I51" s="76"/>
      <c r="O51" s="76"/>
      <c r="P51" s="76"/>
      <c r="V51" s="76"/>
      <c r="W51" s="76"/>
    </row>
    <row r="52" spans="8:23" x14ac:dyDescent="0.3">
      <c r="H52" s="76"/>
      <c r="I52" s="76"/>
      <c r="O52" s="76"/>
      <c r="P52" s="76"/>
      <c r="V52" s="76"/>
      <c r="W52" s="76"/>
    </row>
    <row r="53" spans="8:23" x14ac:dyDescent="0.3">
      <c r="H53" s="76"/>
      <c r="I53" s="76"/>
      <c r="O53" s="76"/>
      <c r="P53" s="76"/>
      <c r="V53" s="76"/>
      <c r="W53" s="76"/>
    </row>
    <row r="54" spans="8:23" x14ac:dyDescent="0.3">
      <c r="H54" s="76"/>
      <c r="I54" s="76"/>
      <c r="O54" s="76"/>
      <c r="P54" s="76"/>
      <c r="V54" s="76"/>
      <c r="W54" s="76"/>
    </row>
    <row r="55" spans="8:23" x14ac:dyDescent="0.3">
      <c r="H55" s="76"/>
      <c r="I55" s="76"/>
      <c r="O55" s="76"/>
      <c r="P55" s="76"/>
      <c r="V55" s="76"/>
      <c r="W55" s="76"/>
    </row>
    <row r="56" spans="8:23" x14ac:dyDescent="0.3">
      <c r="H56" s="76"/>
      <c r="I56" s="76"/>
      <c r="O56" s="76"/>
      <c r="P56" s="76"/>
      <c r="V56" s="76"/>
      <c r="W56" s="76"/>
    </row>
    <row r="57" spans="8:23" x14ac:dyDescent="0.3">
      <c r="H57" s="76"/>
      <c r="I57" s="76"/>
      <c r="O57" s="76"/>
      <c r="P57" s="76"/>
      <c r="V57" s="76"/>
      <c r="W57" s="76"/>
    </row>
    <row r="58" spans="8:23" x14ac:dyDescent="0.3">
      <c r="H58" s="76"/>
      <c r="I58" s="76"/>
      <c r="O58" s="76"/>
      <c r="P58" s="76"/>
      <c r="V58" s="76"/>
      <c r="W58" s="76"/>
    </row>
    <row r="59" spans="8:23" x14ac:dyDescent="0.3">
      <c r="H59" s="76"/>
      <c r="I59" s="76"/>
      <c r="O59" s="76"/>
      <c r="P59" s="76"/>
      <c r="V59" s="76"/>
      <c r="W59" s="76"/>
    </row>
    <row r="60" spans="8:23" x14ac:dyDescent="0.3">
      <c r="H60" s="76"/>
      <c r="I60" s="76"/>
      <c r="O60" s="76"/>
      <c r="P60" s="76"/>
      <c r="V60" s="76"/>
      <c r="W60" s="76"/>
    </row>
    <row r="61" spans="8:23" x14ac:dyDescent="0.3">
      <c r="H61" s="76"/>
      <c r="I61" s="76"/>
      <c r="O61" s="76"/>
      <c r="P61" s="76"/>
      <c r="V61" s="76"/>
      <c r="W61" s="76"/>
    </row>
    <row r="62" spans="8:23" x14ac:dyDescent="0.3">
      <c r="H62" s="76"/>
      <c r="I62" s="76"/>
      <c r="O62" s="76"/>
      <c r="P62" s="76"/>
      <c r="V62" s="76"/>
      <c r="W62" s="76"/>
    </row>
    <row r="63" spans="8:23" x14ac:dyDescent="0.3">
      <c r="H63" s="76"/>
      <c r="I63" s="76"/>
      <c r="O63" s="76"/>
      <c r="P63" s="76"/>
      <c r="V63" s="76"/>
      <c r="W63" s="76"/>
    </row>
    <row r="64" spans="8:23" x14ac:dyDescent="0.3">
      <c r="H64" s="76"/>
      <c r="I64" s="76"/>
      <c r="O64" s="76"/>
      <c r="P64" s="76"/>
      <c r="V64" s="76"/>
      <c r="W64" s="76"/>
    </row>
    <row r="65" spans="8:23" x14ac:dyDescent="0.3">
      <c r="H65" s="76"/>
      <c r="I65" s="76"/>
      <c r="O65" s="76"/>
      <c r="P65" s="76"/>
      <c r="V65" s="76"/>
      <c r="W65" s="76"/>
    </row>
    <row r="66" spans="8:23" x14ac:dyDescent="0.3">
      <c r="H66" s="76"/>
      <c r="I66" s="76"/>
      <c r="O66" s="76"/>
      <c r="P66" s="76"/>
      <c r="V66" s="76"/>
      <c r="W66" s="76"/>
    </row>
    <row r="67" spans="8:23" x14ac:dyDescent="0.3">
      <c r="H67" s="76"/>
      <c r="I67" s="76"/>
      <c r="O67" s="76"/>
      <c r="P67" s="76"/>
      <c r="V67" s="76"/>
      <c r="W67" s="76"/>
    </row>
    <row r="68" spans="8:23" x14ac:dyDescent="0.3">
      <c r="H68" s="76"/>
      <c r="I68" s="76"/>
      <c r="O68" s="76"/>
      <c r="P68" s="76"/>
      <c r="V68" s="76"/>
      <c r="W68" s="76"/>
    </row>
    <row r="69" spans="8:23" x14ac:dyDescent="0.3">
      <c r="H69" s="76"/>
      <c r="I69" s="76"/>
      <c r="O69" s="76"/>
      <c r="P69" s="76"/>
      <c r="V69" s="76"/>
      <c r="W69" s="76"/>
    </row>
    <row r="70" spans="8:23" x14ac:dyDescent="0.3">
      <c r="H70" s="76"/>
      <c r="I70" s="76"/>
      <c r="O70" s="76"/>
      <c r="P70" s="76"/>
      <c r="V70" s="76"/>
      <c r="W70" s="76"/>
    </row>
    <row r="71" spans="8:23" x14ac:dyDescent="0.3">
      <c r="H71" s="76"/>
      <c r="I71" s="76"/>
      <c r="O71" s="76"/>
      <c r="P71" s="76"/>
      <c r="V71" s="76"/>
      <c r="W71" s="76"/>
    </row>
    <row r="72" spans="8:23" x14ac:dyDescent="0.3">
      <c r="H72" s="76"/>
      <c r="I72" s="76"/>
      <c r="O72" s="76"/>
      <c r="P72" s="76"/>
      <c r="V72" s="76"/>
      <c r="W72" s="76"/>
    </row>
    <row r="73" spans="8:23" x14ac:dyDescent="0.3">
      <c r="H73" s="76"/>
      <c r="I73" s="76"/>
      <c r="O73" s="76"/>
      <c r="P73" s="76"/>
      <c r="V73" s="76"/>
      <c r="W73" s="76"/>
    </row>
    <row r="74" spans="8:23" x14ac:dyDescent="0.3">
      <c r="H74" s="76"/>
      <c r="I74" s="76"/>
      <c r="O74" s="76"/>
      <c r="P74" s="76"/>
      <c r="V74" s="76"/>
      <c r="W74" s="76"/>
    </row>
  </sheetData>
  <mergeCells count="5">
    <mergeCell ref="L4:N5"/>
    <mergeCell ref="S4:U5"/>
    <mergeCell ref="B1:E1"/>
    <mergeCell ref="B4:B5"/>
    <mergeCell ref="E4:G5"/>
  </mergeCells>
  <conditionalFormatting sqref="F6 F22:F24 F29:F32 M29:M32 T29:T32 F34:F36 M34:M36 T34:T36 F10:F19 M10:M19 T10:T19 F27">
    <cfRule type="expression" dxfId="129" priority="73">
      <formula>D6=C6</formula>
    </cfRule>
    <cfRule type="expression" dxfId="128" priority="74">
      <formula>D6&lt;C6</formula>
    </cfRule>
    <cfRule type="expression" dxfId="127" priority="75">
      <formula>D6&gt;C6</formula>
    </cfRule>
  </conditionalFormatting>
  <conditionalFormatting sqref="F20:F21">
    <cfRule type="expression" dxfId="126" priority="70">
      <formula>D20=C20</formula>
    </cfRule>
    <cfRule type="expression" dxfId="125" priority="71">
      <formula>D20&lt;C20</formula>
    </cfRule>
    <cfRule type="expression" dxfId="124" priority="72">
      <formula>D20&gt;C20</formula>
    </cfRule>
  </conditionalFormatting>
  <conditionalFormatting sqref="F28">
    <cfRule type="expression" dxfId="123" priority="67">
      <formula>D28=C28</formula>
    </cfRule>
    <cfRule type="expression" dxfId="122" priority="68">
      <formula>D28&lt;C28</formula>
    </cfRule>
    <cfRule type="expression" dxfId="121" priority="69">
      <formula>D28&gt;C28</formula>
    </cfRule>
  </conditionalFormatting>
  <conditionalFormatting sqref="F33">
    <cfRule type="expression" dxfId="120" priority="64">
      <formula>D33=C33</formula>
    </cfRule>
    <cfRule type="expression" dxfId="119" priority="65">
      <formula>D33&lt;C33</formula>
    </cfRule>
    <cfRule type="expression" dxfId="118" priority="66">
      <formula>D33&gt;C33</formula>
    </cfRule>
  </conditionalFormatting>
  <conditionalFormatting sqref="F37:F39">
    <cfRule type="expression" dxfId="117" priority="61">
      <formula>D37=C37</formula>
    </cfRule>
    <cfRule type="expression" dxfId="116" priority="62">
      <formula>D37&lt;C37</formula>
    </cfRule>
    <cfRule type="expression" dxfId="115" priority="63">
      <formula>D37&gt;C37</formula>
    </cfRule>
  </conditionalFormatting>
  <conditionalFormatting sqref="M6 M22:M24 M27">
    <cfRule type="expression" dxfId="114" priority="58">
      <formula>K6=J6</formula>
    </cfRule>
    <cfRule type="expression" dxfId="113" priority="59">
      <formula>K6&lt;J6</formula>
    </cfRule>
    <cfRule type="expression" dxfId="112" priority="60">
      <formula>K6&gt;J6</formula>
    </cfRule>
  </conditionalFormatting>
  <conditionalFormatting sqref="M20:M21">
    <cfRule type="expression" dxfId="111" priority="55">
      <formula>K20=J20</formula>
    </cfRule>
    <cfRule type="expression" dxfId="110" priority="56">
      <formula>K20&lt;J20</formula>
    </cfRule>
    <cfRule type="expression" dxfId="109" priority="57">
      <formula>K20&gt;J20</formula>
    </cfRule>
  </conditionalFormatting>
  <conditionalFormatting sqref="M28">
    <cfRule type="expression" dxfId="108" priority="52">
      <formula>K28=J28</formula>
    </cfRule>
    <cfRule type="expression" dxfId="107" priority="53">
      <formula>K28&lt;J28</formula>
    </cfRule>
    <cfRule type="expression" dxfId="106" priority="54">
      <formula>K28&gt;J28</formula>
    </cfRule>
  </conditionalFormatting>
  <conditionalFormatting sqref="M33">
    <cfRule type="expression" dxfId="105" priority="49">
      <formula>K33=J33</formula>
    </cfRule>
    <cfRule type="expression" dxfId="104" priority="50">
      <formula>K33&lt;J33</formula>
    </cfRule>
    <cfRule type="expression" dxfId="103" priority="51">
      <formula>K33&gt;J33</formula>
    </cfRule>
  </conditionalFormatting>
  <conditionalFormatting sqref="M37:M39">
    <cfRule type="expression" dxfId="102" priority="46">
      <formula>K37=J37</formula>
    </cfRule>
    <cfRule type="expression" dxfId="101" priority="47">
      <formula>K37&lt;J37</formula>
    </cfRule>
    <cfRule type="expression" dxfId="100" priority="48">
      <formula>K37&gt;J37</formula>
    </cfRule>
  </conditionalFormatting>
  <conditionalFormatting sqref="T6 T22:T24 T27">
    <cfRule type="expression" dxfId="99" priority="43">
      <formula>R6=Q6</formula>
    </cfRule>
    <cfRule type="expression" dxfId="98" priority="44">
      <formula>R6&lt;Q6</formula>
    </cfRule>
    <cfRule type="expression" dxfId="97" priority="45">
      <formula>R6&gt;Q6</formula>
    </cfRule>
  </conditionalFormatting>
  <conditionalFormatting sqref="T20:T21">
    <cfRule type="expression" dxfId="96" priority="40">
      <formula>R20=Q20</formula>
    </cfRule>
    <cfRule type="expression" dxfId="95" priority="41">
      <formula>R20&lt;Q20</formula>
    </cfRule>
    <cfRule type="expression" dxfId="94" priority="42">
      <formula>R20&gt;Q20</formula>
    </cfRule>
  </conditionalFormatting>
  <conditionalFormatting sqref="T28">
    <cfRule type="expression" dxfId="93" priority="37">
      <formula>R28=Q28</formula>
    </cfRule>
    <cfRule type="expression" dxfId="92" priority="38">
      <formula>R28&lt;Q28</formula>
    </cfRule>
    <cfRule type="expression" dxfId="91" priority="39">
      <formula>R28&gt;Q28</formula>
    </cfRule>
  </conditionalFormatting>
  <conditionalFormatting sqref="T33">
    <cfRule type="expression" dxfId="90" priority="34">
      <formula>R33=Q33</formula>
    </cfRule>
    <cfRule type="expression" dxfId="89" priority="35">
      <formula>R33&lt;Q33</formula>
    </cfRule>
    <cfRule type="expression" dxfId="88" priority="36">
      <formula>R33&gt;Q33</formula>
    </cfRule>
  </conditionalFormatting>
  <conditionalFormatting sqref="T37:T39">
    <cfRule type="expression" dxfId="87" priority="31">
      <formula>R37=Q37</formula>
    </cfRule>
    <cfRule type="expression" dxfId="86" priority="32">
      <formula>R37&lt;Q37</formula>
    </cfRule>
    <cfRule type="expression" dxfId="85" priority="33">
      <formula>R37&gt;Q37</formula>
    </cfRule>
  </conditionalFormatting>
  <conditionalFormatting sqref="U36">
    <cfRule type="containsErrors" dxfId="84" priority="30">
      <formula>ISERROR(U36)</formula>
    </cfRule>
  </conditionalFormatting>
  <conditionalFormatting sqref="N36">
    <cfRule type="containsErrors" dxfId="83" priority="29">
      <formula>ISERROR(N36)</formula>
    </cfRule>
  </conditionalFormatting>
  <conditionalFormatting sqref="G36">
    <cfRule type="containsErrors" dxfId="82" priority="28">
      <formula>ISERROR(G36)</formula>
    </cfRule>
  </conditionalFormatting>
  <conditionalFormatting sqref="F7:F9">
    <cfRule type="expression" dxfId="81" priority="25">
      <formula>D7=C7</formula>
    </cfRule>
    <cfRule type="expression" dxfId="80" priority="26">
      <formula>D7&lt;C7</formula>
    </cfRule>
    <cfRule type="expression" dxfId="79" priority="27">
      <formula>D7&gt;C7</formula>
    </cfRule>
  </conditionalFormatting>
  <conditionalFormatting sqref="M7:M9">
    <cfRule type="expression" dxfId="78" priority="22">
      <formula>K7=J7</formula>
    </cfRule>
    <cfRule type="expression" dxfId="77" priority="23">
      <formula>K7&lt;J7</formula>
    </cfRule>
    <cfRule type="expression" dxfId="76" priority="24">
      <formula>K7&gt;J7</formula>
    </cfRule>
  </conditionalFormatting>
  <conditionalFormatting sqref="T7:T9">
    <cfRule type="expression" dxfId="75" priority="19">
      <formula>R7=Q7</formula>
    </cfRule>
    <cfRule type="expression" dxfId="74" priority="20">
      <formula>R7&lt;Q7</formula>
    </cfRule>
    <cfRule type="expression" dxfId="73" priority="21">
      <formula>R7&gt;Q7</formula>
    </cfRule>
  </conditionalFormatting>
  <conditionalFormatting sqref="F25">
    <cfRule type="expression" dxfId="72" priority="16">
      <formula>D25=C25</formula>
    </cfRule>
    <cfRule type="expression" dxfId="71" priority="17">
      <formula>D25&lt;C25</formula>
    </cfRule>
    <cfRule type="expression" dxfId="70" priority="18">
      <formula>D25&gt;C25</formula>
    </cfRule>
  </conditionalFormatting>
  <conditionalFormatting sqref="M25">
    <cfRule type="expression" dxfId="69" priority="13">
      <formula>K25=J25</formula>
    </cfRule>
    <cfRule type="expression" dxfId="68" priority="14">
      <formula>K25&lt;J25</formula>
    </cfRule>
    <cfRule type="expression" dxfId="67" priority="15">
      <formula>K25&gt;J25</formula>
    </cfRule>
  </conditionalFormatting>
  <conditionalFormatting sqref="T25">
    <cfRule type="expression" dxfId="66" priority="10">
      <formula>R25=Q25</formula>
    </cfRule>
    <cfRule type="expression" dxfId="65" priority="11">
      <formula>R25&lt;Q25</formula>
    </cfRule>
    <cfRule type="expression" dxfId="64" priority="12">
      <formula>R25&gt;Q25</formula>
    </cfRule>
  </conditionalFormatting>
  <conditionalFormatting sqref="F26">
    <cfRule type="expression" dxfId="63" priority="7">
      <formula>D26=C26</formula>
    </cfRule>
    <cfRule type="expression" dxfId="62" priority="8">
      <formula>D26&lt;C26</formula>
    </cfRule>
    <cfRule type="expression" dxfId="61" priority="9">
      <formula>D26&gt;C26</formula>
    </cfRule>
  </conditionalFormatting>
  <conditionalFormatting sqref="M26">
    <cfRule type="expression" dxfId="60" priority="4">
      <formula>K26=J26</formula>
    </cfRule>
    <cfRule type="expression" dxfId="59" priority="5">
      <formula>K26&lt;J26</formula>
    </cfRule>
    <cfRule type="expression" dxfId="58" priority="6">
      <formula>K26&gt;J26</formula>
    </cfRule>
  </conditionalFormatting>
  <conditionalFormatting sqref="T26">
    <cfRule type="expression" dxfId="57" priority="1">
      <formula>R26=Q26</formula>
    </cfRule>
    <cfRule type="expression" dxfId="56" priority="2">
      <formula>R26&lt;Q26</formula>
    </cfRule>
    <cfRule type="expression" dxfId="55" priority="3">
      <formula>R26&gt;Q26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7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51" sqref="O51"/>
    </sheetView>
  </sheetViews>
  <sheetFormatPr defaultColWidth="9.109375" defaultRowHeight="14.4" x14ac:dyDescent="0.3"/>
  <cols>
    <col min="1" max="1" width="3.6640625" style="1" customWidth="1"/>
    <col min="2" max="2" width="60.109375" style="1" customWidth="1"/>
    <col min="3" max="4" width="13.33203125" style="1" bestFit="1" customWidth="1"/>
    <col min="5" max="5" width="13.5546875" style="1" customWidth="1"/>
    <col min="6" max="6" width="2.88671875" style="54" customWidth="1"/>
    <col min="7" max="7" width="12.6640625" style="1" bestFit="1" customWidth="1"/>
    <col min="8" max="8" width="7.5546875" style="1" bestFit="1" customWidth="1"/>
    <col min="9" max="9" width="1.5546875" style="1" customWidth="1"/>
    <col min="10" max="10" width="7.109375" style="1" bestFit="1" customWidth="1"/>
    <col min="11" max="11" width="7.109375" style="30" bestFit="1" customWidth="1"/>
    <col min="12" max="12" width="7.77734375" style="1" bestFit="1" customWidth="1"/>
    <col min="13" max="13" width="4.33203125" style="1" customWidth="1"/>
    <col min="14" max="16384" width="9.109375" style="1"/>
  </cols>
  <sheetData>
    <row r="1" spans="2:11" x14ac:dyDescent="0.3">
      <c r="B1" s="166" t="s">
        <v>272</v>
      </c>
    </row>
    <row r="2" spans="2:11" ht="15" thickBot="1" x14ac:dyDescent="0.35">
      <c r="B2" s="8"/>
      <c r="C2" s="74"/>
      <c r="D2" s="74"/>
      <c r="E2" s="74"/>
      <c r="F2" s="10"/>
      <c r="G2" s="11"/>
      <c r="H2" s="10"/>
    </row>
    <row r="3" spans="2:11" s="50" customFormat="1" ht="32.25" customHeight="1" thickBot="1" x14ac:dyDescent="0.35">
      <c r="B3" s="210" t="s">
        <v>44</v>
      </c>
      <c r="C3" s="211" t="s">
        <v>268</v>
      </c>
      <c r="D3" s="211" t="s">
        <v>269</v>
      </c>
      <c r="E3" s="211" t="s">
        <v>329</v>
      </c>
      <c r="F3" s="239" t="str">
        <f>CONCATENATE(Data_Interim!P3," vs. ",Data_Interim!O3)</f>
        <v>2023 vs. 2022</v>
      </c>
      <c r="G3" s="239"/>
      <c r="H3" s="239"/>
      <c r="K3" s="51"/>
    </row>
    <row r="4" spans="2:11" x14ac:dyDescent="0.3">
      <c r="B4" s="13" t="s">
        <v>45</v>
      </c>
      <c r="C4" s="13">
        <f>SUMIF(Data_Interim!$C:$C,$B4,Data_Interim!N:N)</f>
        <v>73843980.703151584</v>
      </c>
      <c r="D4" s="13">
        <f>SUMIF(Data_Interim!$C:$C,$B4,Data_Interim!O:O)</f>
        <v>95365144.089409724</v>
      </c>
      <c r="E4" s="13">
        <f>SUMIF(Data_Interim!$C:$C,$B4,Data_Interim!P:P)</f>
        <v>89872750.660000011</v>
      </c>
      <c r="F4" s="9" t="str">
        <f>IF(E4+D4&gt;0,IF(E4&gt;D4,"▲",IF(E4=D4,"▬","▼")),IF(E4&gt;D4,"▼",IF(E4=D4,"▬","▲")))</f>
        <v>▼</v>
      </c>
      <c r="G4" s="13">
        <f>E4-D4</f>
        <v>-5492393.4294097126</v>
      </c>
      <c r="H4" s="14">
        <f>E4/D4-1</f>
        <v>-5.759330080034597E-2</v>
      </c>
    </row>
    <row r="5" spans="2:11" x14ac:dyDescent="0.3">
      <c r="B5" s="15" t="s">
        <v>184</v>
      </c>
      <c r="C5" s="15">
        <f>SUMIF(Data_Interim!$C:$C,$B5,Data_Interim!N:N)</f>
        <v>1070758.72</v>
      </c>
      <c r="D5" s="15">
        <f>SUMIF(Data_Interim!$C:$C,$B5,Data_Interim!O:O)</f>
        <v>1073658.9500000007</v>
      </c>
      <c r="E5" s="15">
        <f>SUMIF(Data_Interim!$C:$C,$B5,Data_Interim!P:P)</f>
        <v>1031513.09</v>
      </c>
      <c r="F5" s="9" t="str">
        <f t="shared" ref="F5:F27" si="0">IF(E5+D5&gt;0,IF(E5&gt;D5,"▲",IF(E5=D5,"▬","▼")),IF(E5&gt;D5,"▼",IF(E5=D5,"▬","▲")))</f>
        <v>▼</v>
      </c>
      <c r="G5" s="15">
        <f t="shared" ref="G5:G27" si="1">E5-D5</f>
        <v>-42145.860000000685</v>
      </c>
      <c r="H5" s="14">
        <f t="shared" ref="H5:H18" si="2">E5/D5-1</f>
        <v>-3.925442059603812E-2</v>
      </c>
    </row>
    <row r="6" spans="2:11" x14ac:dyDescent="0.3">
      <c r="B6" s="15" t="s">
        <v>186</v>
      </c>
      <c r="C6" s="15">
        <f>SUMIF(Data_Interim!$C:$C,$B6,Data_Interim!N:N)</f>
        <v>2534994.23</v>
      </c>
      <c r="D6" s="15">
        <f>SUMIF(Data_Interim!$C:$C,$B6,Data_Interim!O:O)</f>
        <v>6403774.8900000006</v>
      </c>
      <c r="E6" s="15">
        <f>SUMIF(Data_Interim!$C:$C,$B6,Data_Interim!P:P)</f>
        <v>1953153.5899999999</v>
      </c>
      <c r="F6" s="9" t="str">
        <f t="shared" si="0"/>
        <v>▼</v>
      </c>
      <c r="G6" s="15">
        <f t="shared" si="1"/>
        <v>-4450621.3000000007</v>
      </c>
      <c r="H6" s="14">
        <f t="shared" si="2"/>
        <v>-0.69499964887116761</v>
      </c>
    </row>
    <row r="7" spans="2:11" x14ac:dyDescent="0.3">
      <c r="B7" s="15" t="s">
        <v>46</v>
      </c>
      <c r="C7" s="15">
        <f>SUMIF(Data_Interim!$C:$C,$B7,Data_Interim!N:N)</f>
        <v>-49431754.694069304</v>
      </c>
      <c r="D7" s="15">
        <f>SUMIF(Data_Interim!$C:$C,$B7,Data_Interim!O:O)</f>
        <v>-67381270.680794284</v>
      </c>
      <c r="E7" s="15">
        <f>SUMIF(Data_Interim!$C:$C,$B7,Data_Interim!P:P)</f>
        <v>-61899367.753184624</v>
      </c>
      <c r="F7" s="9" t="str">
        <f t="shared" si="0"/>
        <v>▼</v>
      </c>
      <c r="G7" s="15">
        <f t="shared" si="1"/>
        <v>5481902.9276096597</v>
      </c>
      <c r="H7" s="14">
        <f t="shared" si="2"/>
        <v>-8.135647891799358E-2</v>
      </c>
    </row>
    <row r="8" spans="2:11" x14ac:dyDescent="0.3">
      <c r="B8" s="15" t="s">
        <v>231</v>
      </c>
      <c r="C8" s="15">
        <f>SUMIF(Data_Interim!$C:$C,$B8,Data_Interim!N:N)</f>
        <v>-18233567.5</v>
      </c>
      <c r="D8" s="15">
        <f>SUMIF(Data_Interim!$C:$C,$B8,Data_Interim!O:O)</f>
        <v>-18971411.640000001</v>
      </c>
      <c r="E8" s="15">
        <f>SUMIF(Data_Interim!$C:$C,$B8,Data_Interim!P:P)</f>
        <v>-20425518</v>
      </c>
      <c r="F8" s="9" t="str">
        <f t="shared" si="0"/>
        <v>▲</v>
      </c>
      <c r="G8" s="15">
        <f t="shared" si="1"/>
        <v>-1454106.3599999994</v>
      </c>
      <c r="H8" s="14">
        <f t="shared" si="2"/>
        <v>7.6647240995715293E-2</v>
      </c>
    </row>
    <row r="9" spans="2:11" x14ac:dyDescent="0.3">
      <c r="B9" s="15" t="s">
        <v>47</v>
      </c>
      <c r="C9" s="15">
        <f>SUMIF(Data_Interim!$C:$C,$B9,Data_Interim!N:N)</f>
        <v>-3745806.38</v>
      </c>
      <c r="D9" s="15">
        <f>SUMIF(Data_Interim!$C:$C,$B9,Data_Interim!O:O)</f>
        <v>-3691726.8800000008</v>
      </c>
      <c r="E9" s="15">
        <f>SUMIF(Data_Interim!$C:$C,$B9,Data_Interim!P:P)</f>
        <v>-3620792.3500000006</v>
      </c>
      <c r="F9" s="9" t="str">
        <f t="shared" si="0"/>
        <v>▼</v>
      </c>
      <c r="G9" s="15">
        <f t="shared" si="1"/>
        <v>70934.530000000261</v>
      </c>
      <c r="H9" s="14">
        <f t="shared" si="2"/>
        <v>-1.9214457706578814E-2</v>
      </c>
    </row>
    <row r="10" spans="2:11" x14ac:dyDescent="0.3">
      <c r="B10" s="15" t="s">
        <v>49</v>
      </c>
      <c r="C10" s="15">
        <f>SUMIF(Data_Interim!$C:$C,$B10,Data_Interim!N:N)</f>
        <v>-5076760.55</v>
      </c>
      <c r="D10" s="15">
        <f>SUMIF(Data_Interim!$C:$C,$B10,Data_Interim!O:O)</f>
        <v>-9044822.9400000013</v>
      </c>
      <c r="E10" s="15">
        <f>SUMIF(Data_Interim!$C:$C,$B10,Data_Interim!P:P)</f>
        <v>-6723651.0435824282</v>
      </c>
      <c r="F10" s="9" t="str">
        <f t="shared" si="0"/>
        <v>▼</v>
      </c>
      <c r="G10" s="15">
        <f t="shared" si="1"/>
        <v>2321171.8964175731</v>
      </c>
      <c r="H10" s="14"/>
    </row>
    <row r="11" spans="2:11" ht="15" thickBot="1" x14ac:dyDescent="0.35">
      <c r="B11" s="15" t="s">
        <v>232</v>
      </c>
      <c r="C11" s="15">
        <f>SUMIF(Data_Interim!$C:$C,$B11,Data_Interim!N:N)</f>
        <v>117675.36</v>
      </c>
      <c r="D11" s="15">
        <f>SUMIF(Data_Interim!$C:$C,$B11,Data_Interim!O:O)</f>
        <v>41189.199999999997</v>
      </c>
      <c r="E11" s="15">
        <f>SUMIF(Data_Interim!$C:$C,$B11,Data_Interim!P:P)</f>
        <v>4022419.9047619049</v>
      </c>
      <c r="F11" s="9" t="str">
        <f t="shared" si="0"/>
        <v>▲</v>
      </c>
      <c r="G11" s="15">
        <f t="shared" si="1"/>
        <v>3981230.7047619047</v>
      </c>
      <c r="H11" s="14">
        <f t="shared" si="2"/>
        <v>96.657150533681289</v>
      </c>
    </row>
    <row r="12" spans="2:11" ht="15" thickBot="1" x14ac:dyDescent="0.35">
      <c r="B12" s="213" t="s">
        <v>193</v>
      </c>
      <c r="C12" s="214">
        <f t="shared" ref="C12:E12" si="3">SUM(C4:C11)</f>
        <v>1079519.8890822835</v>
      </c>
      <c r="D12" s="214">
        <f t="shared" si="3"/>
        <v>3794534.9886154411</v>
      </c>
      <c r="E12" s="214">
        <f t="shared" si="3"/>
        <v>4210508.0979948705</v>
      </c>
      <c r="F12" s="215" t="str">
        <f t="shared" si="0"/>
        <v>▲</v>
      </c>
      <c r="G12" s="216">
        <f t="shared" si="1"/>
        <v>415973.10937942937</v>
      </c>
      <c r="H12" s="217">
        <f t="shared" si="2"/>
        <v>0.10962426506210998</v>
      </c>
    </row>
    <row r="13" spans="2:11" x14ac:dyDescent="0.3">
      <c r="B13" s="15" t="s">
        <v>195</v>
      </c>
      <c r="C13" s="15">
        <f>SUMIF(Data_Interim!$C:$C,$B13,Data_Interim!N:N)</f>
        <v>41009.19</v>
      </c>
      <c r="D13" s="15">
        <f>SUMIF(Data_Interim!$C:$C,$B13,Data_Interim!O:O)</f>
        <v>52855.490000000005</v>
      </c>
      <c r="E13" s="15">
        <f>SUMIF(Data_Interim!$C:$C,$B13,Data_Interim!P:P)</f>
        <v>247396.35865257145</v>
      </c>
      <c r="F13" s="9" t="str">
        <f t="shared" si="0"/>
        <v>▲</v>
      </c>
      <c r="G13" s="15">
        <f t="shared" si="1"/>
        <v>194540.86865257146</v>
      </c>
      <c r="H13" s="14">
        <f t="shared" si="2"/>
        <v>3.6806180143741249</v>
      </c>
    </row>
    <row r="14" spans="2:11" x14ac:dyDescent="0.3">
      <c r="B14" s="15" t="s">
        <v>233</v>
      </c>
      <c r="C14" s="15">
        <f>SUMIF(Data_Interim!$C:$C,$B14,Data_Interim!N:N)</f>
        <v>-1126973.8683342857</v>
      </c>
      <c r="D14" s="15">
        <f>SUMIF(Data_Interim!$C:$C,$B14,Data_Interim!O:O)</f>
        <v>-581932.92807619052</v>
      </c>
      <c r="E14" s="15">
        <f>SUMIF(Data_Interim!$C:$C,$B14,Data_Interim!P:P)</f>
        <v>-1077151.1693868572</v>
      </c>
      <c r="F14" s="9" t="str">
        <f t="shared" si="0"/>
        <v>▲</v>
      </c>
      <c r="G14" s="15">
        <f t="shared" si="1"/>
        <v>-495218.24131066666</v>
      </c>
      <c r="H14" s="14">
        <f t="shared" si="2"/>
        <v>0.85098852018531823</v>
      </c>
    </row>
    <row r="15" spans="2:11" ht="15" thickBot="1" x14ac:dyDescent="0.35">
      <c r="B15" s="15" t="s">
        <v>235</v>
      </c>
      <c r="C15" s="15">
        <f>SUMIF(Data_Interim!$C:$C,$B15,Data_Interim!N:N)</f>
        <v>739876.03311407438</v>
      </c>
      <c r="D15" s="15">
        <f>SUMIF(Data_Interim!$C:$C,$B15,Data_Interim!O:O)</f>
        <v>1583476.2300061372</v>
      </c>
      <c r="E15" s="15">
        <f>SUMIF(Data_Interim!$C:$C,$B15,Data_Interim!P:P)</f>
        <v>0</v>
      </c>
      <c r="F15" s="9" t="str">
        <f t="shared" si="0"/>
        <v>▼</v>
      </c>
      <c r="G15" s="15">
        <f t="shared" si="1"/>
        <v>-1583476.2300061372</v>
      </c>
      <c r="H15" s="14">
        <f t="shared" si="2"/>
        <v>-1</v>
      </c>
    </row>
    <row r="16" spans="2:11" ht="15" thickBot="1" x14ac:dyDescent="0.35">
      <c r="B16" s="213" t="s">
        <v>51</v>
      </c>
      <c r="C16" s="214">
        <f t="shared" ref="C16:E16" si="4">SUM(C12:C15)</f>
        <v>733431.24386207212</v>
      </c>
      <c r="D16" s="214">
        <f t="shared" si="4"/>
        <v>4848933.7805453883</v>
      </c>
      <c r="E16" s="214">
        <f t="shared" si="4"/>
        <v>3380753.2872605845</v>
      </c>
      <c r="F16" s="215" t="str">
        <f t="shared" si="0"/>
        <v>▼</v>
      </c>
      <c r="G16" s="216">
        <f t="shared" si="1"/>
        <v>-1468180.4932848038</v>
      </c>
      <c r="H16" s="217">
        <f t="shared" si="2"/>
        <v>-0.30278419127424516</v>
      </c>
    </row>
    <row r="17" spans="2:17" ht="15" thickBot="1" x14ac:dyDescent="0.35">
      <c r="B17" s="15" t="s">
        <v>237</v>
      </c>
      <c r="C17" s="15">
        <f>SUMIF(Data_Interim!$C:$C,$B17,Data_Interim!N:N)</f>
        <v>-131261</v>
      </c>
      <c r="D17" s="15">
        <f>SUMIF(Data_Interim!$C:$C,$B17,Data_Interim!O:O)</f>
        <v>-377230</v>
      </c>
      <c r="E17" s="15">
        <f>SUMIF(Data_Interim!$C:$C,$B17,Data_Interim!P:P)</f>
        <v>-543338</v>
      </c>
      <c r="F17" s="48" t="str">
        <f t="shared" si="0"/>
        <v>▲</v>
      </c>
      <c r="G17" s="15">
        <f t="shared" si="1"/>
        <v>-166108</v>
      </c>
      <c r="H17" s="59">
        <f t="shared" si="2"/>
        <v>0.4403361344537815</v>
      </c>
    </row>
    <row r="18" spans="2:17" ht="15" thickBot="1" x14ac:dyDescent="0.35">
      <c r="B18" s="213" t="s">
        <v>239</v>
      </c>
      <c r="C18" s="214">
        <f>C16+C17</f>
        <v>602170.24386207212</v>
      </c>
      <c r="D18" s="214">
        <f>D16+D17</f>
        <v>4471703.7805453883</v>
      </c>
      <c r="E18" s="214">
        <f t="shared" ref="E18" si="5">E16+E17</f>
        <v>2837415.2872605845</v>
      </c>
      <c r="F18" s="215" t="str">
        <f t="shared" si="0"/>
        <v>▼</v>
      </c>
      <c r="G18" s="216">
        <f t="shared" si="1"/>
        <v>-1634288.4932848038</v>
      </c>
      <c r="H18" s="217">
        <f t="shared" si="2"/>
        <v>-0.3654733348829915</v>
      </c>
    </row>
    <row r="19" spans="2:17" ht="15" thickBot="1" x14ac:dyDescent="0.35">
      <c r="B19" s="15" t="s">
        <v>240</v>
      </c>
      <c r="C19" s="15">
        <f>SUMIF(Data_Interim!$C:$C,$B19,Data_Interim!N:N)</f>
        <v>602999.24386207212</v>
      </c>
      <c r="D19" s="15">
        <f>SUMIF(Data_Interim!$C:$C,$B19,Data_Interim!O:O)</f>
        <v>4470366.7805453883</v>
      </c>
      <c r="E19" s="15">
        <f>SUMIF(Data_Interim!$C:$C,$B19,Data_Interim!P:P)</f>
        <v>2838339.2872605845</v>
      </c>
      <c r="F19" s="48" t="str">
        <f t="shared" ref="F19:F21" si="6">IF(E19+D19&gt;0,IF(E19&gt;D19,"▲",IF(E19=D19,"▬","▼")),IF(E19&gt;D19,"▼",IF(E19=D19,"▬","▲")))</f>
        <v>▼</v>
      </c>
      <c r="G19" s="15">
        <f t="shared" ref="G19:G21" si="7">E19-D19</f>
        <v>-1632027.4932848038</v>
      </c>
      <c r="H19" s="59">
        <f t="shared" ref="H19:H21" si="8">E19/D19-1</f>
        <v>-0.36507686581495558</v>
      </c>
    </row>
    <row r="20" spans="2:17" ht="15" thickBot="1" x14ac:dyDescent="0.35">
      <c r="B20" s="15" t="s">
        <v>241</v>
      </c>
      <c r="C20" s="15">
        <f>SUMIF(Data_Interim!$C:$C,$B20,Data_Interim!N:N)</f>
        <v>-830</v>
      </c>
      <c r="D20" s="15">
        <f>SUMIF(Data_Interim!$C:$C,$B20,Data_Interim!O:O)</f>
        <v>1335</v>
      </c>
      <c r="E20" s="15">
        <f>SUMIF(Data_Interim!$C:$C,$B20,Data_Interim!P:P)</f>
        <v>-923</v>
      </c>
      <c r="F20" s="48" t="str">
        <f t="shared" si="6"/>
        <v>▼</v>
      </c>
      <c r="G20" s="15">
        <f t="shared" si="7"/>
        <v>-2258</v>
      </c>
      <c r="H20" s="59">
        <f t="shared" si="8"/>
        <v>-1.6913857677902622</v>
      </c>
    </row>
    <row r="21" spans="2:17" ht="15" thickBot="1" x14ac:dyDescent="0.35">
      <c r="B21" s="213" t="s">
        <v>243</v>
      </c>
      <c r="C21" s="218">
        <f t="shared" ref="C21:E21" si="9">C19+C20</f>
        <v>602169.24386207212</v>
      </c>
      <c r="D21" s="218">
        <f t="shared" si="9"/>
        <v>4471701.7805453883</v>
      </c>
      <c r="E21" s="218">
        <f t="shared" si="9"/>
        <v>2837416.2872605845</v>
      </c>
      <c r="F21" s="219" t="str">
        <f t="shared" si="6"/>
        <v>▼</v>
      </c>
      <c r="G21" s="198">
        <f t="shared" si="7"/>
        <v>-1634285.4932848038</v>
      </c>
      <c r="H21" s="220">
        <f t="shared" si="8"/>
        <v>-0.36547282745797938</v>
      </c>
    </row>
    <row r="22" spans="2:17" ht="15" thickBot="1" x14ac:dyDescent="0.35">
      <c r="B22" s="15" t="s">
        <v>245</v>
      </c>
      <c r="C22" s="15">
        <f>SUMIF(Data_Interim!$C:$C,$B22,Data_Interim!N:N)</f>
        <v>82</v>
      </c>
      <c r="D22" s="15">
        <f>SUMIF(Data_Interim!$C:$C,$B22,Data_Interim!O:O)</f>
        <v>-2</v>
      </c>
      <c r="E22" s="15">
        <f>SUMIF(Data_Interim!$C:$C,$B22,Data_Interim!P:P)</f>
        <v>156</v>
      </c>
      <c r="F22" s="48" t="str">
        <f t="shared" ref="F22:F25" si="10">IF(E22+D22&gt;0,IF(E22&gt;D22,"▲",IF(E22=D22,"▬","▼")),IF(E22&gt;D22,"▼",IF(E22=D22,"▬","▲")))</f>
        <v>▲</v>
      </c>
      <c r="G22" s="15">
        <f t="shared" ref="G22:G25" si="11">E22-D22</f>
        <v>158</v>
      </c>
      <c r="H22" s="59">
        <f t="shared" ref="H22:H25" si="12">E22/D22-1</f>
        <v>-79</v>
      </c>
    </row>
    <row r="23" spans="2:17" ht="15" thickBot="1" x14ac:dyDescent="0.35">
      <c r="B23" s="15" t="s">
        <v>247</v>
      </c>
      <c r="C23" s="15">
        <f>SUMIF(Data_Interim!$C:$C,$B23,Data_Interim!N:N)</f>
        <v>0</v>
      </c>
      <c r="D23" s="15">
        <f>SUMIF(Data_Interim!$C:$C,$B23,Data_Interim!O:O)</f>
        <v>0</v>
      </c>
      <c r="E23" s="15">
        <f>SUMIF(Data_Interim!$C:$C,$B23,Data_Interim!P:P)</f>
        <v>0</v>
      </c>
      <c r="F23" s="48" t="str">
        <f t="shared" si="10"/>
        <v>▬</v>
      </c>
      <c r="G23" s="15">
        <f t="shared" si="11"/>
        <v>0</v>
      </c>
      <c r="H23" s="59" t="e">
        <f t="shared" si="12"/>
        <v>#DIV/0!</v>
      </c>
    </row>
    <row r="24" spans="2:17" ht="15" thickBot="1" x14ac:dyDescent="0.35">
      <c r="B24" s="15" t="s">
        <v>249</v>
      </c>
      <c r="C24" s="15">
        <f>SUMIF(Data_Interim!$C:$C,$B24,Data_Interim!N:N)</f>
        <v>0</v>
      </c>
      <c r="D24" s="15">
        <f>SUMIF(Data_Interim!$C:$C,$B24,Data_Interim!O:O)</f>
        <v>0</v>
      </c>
      <c r="E24" s="15">
        <f>SUMIF(Data_Interim!$C:$C,$B24,Data_Interim!P:P)</f>
        <v>0</v>
      </c>
      <c r="F24" s="48" t="str">
        <f t="shared" si="10"/>
        <v>▬</v>
      </c>
      <c r="G24" s="15">
        <f t="shared" si="11"/>
        <v>0</v>
      </c>
      <c r="H24" s="59" t="e">
        <f t="shared" si="12"/>
        <v>#DIV/0!</v>
      </c>
    </row>
    <row r="25" spans="2:17" ht="15" thickBot="1" x14ac:dyDescent="0.35">
      <c r="B25" s="213" t="s">
        <v>251</v>
      </c>
      <c r="C25" s="214">
        <f>C21+C22+C23+C24</f>
        <v>602251.24386207212</v>
      </c>
      <c r="D25" s="214">
        <f t="shared" ref="D25:E25" si="13">D21+D22+D23+D24</f>
        <v>4471699.7805453883</v>
      </c>
      <c r="E25" s="214">
        <f t="shared" si="13"/>
        <v>2837572.2872605845</v>
      </c>
      <c r="F25" s="219" t="str">
        <f t="shared" si="10"/>
        <v>▼</v>
      </c>
      <c r="G25" s="198">
        <f t="shared" si="11"/>
        <v>-1634127.4932848038</v>
      </c>
      <c r="H25" s="220">
        <f t="shared" si="12"/>
        <v>-0.36543765759818037</v>
      </c>
    </row>
    <row r="26" spans="2:17" x14ac:dyDescent="0.3">
      <c r="B26" s="15" t="s">
        <v>252</v>
      </c>
      <c r="C26" s="9">
        <f>SUMIF(Data_Interim!$C:$C,$B26,Data_Interim!N:N)</f>
        <v>603081.24386207212</v>
      </c>
      <c r="D26" s="9">
        <f>SUMIF(Data_Interim!$C:$C,$B26,Data_Interim!O:O)</f>
        <v>4470364.7805453883</v>
      </c>
      <c r="E26" s="9">
        <f>SUMIF(Data_Interim!$C:$C,$B26,Data_Interim!P:P)</f>
        <v>2838495.2872605845</v>
      </c>
      <c r="F26" s="9" t="str">
        <f t="shared" si="0"/>
        <v>▼</v>
      </c>
      <c r="G26" s="15">
        <f t="shared" si="1"/>
        <v>-1631869.4932848038</v>
      </c>
      <c r="H26" s="59"/>
    </row>
    <row r="27" spans="2:17" x14ac:dyDescent="0.3">
      <c r="B27" s="18" t="s">
        <v>253</v>
      </c>
      <c r="C27" s="19">
        <f>SUMIF(Data_Interim!$C:$C,$B27,Data_Interim!N:N)</f>
        <v>-830</v>
      </c>
      <c r="D27" s="19">
        <f>SUMIF(Data_Interim!$C:$C,$B27,Data_Interim!O:O)</f>
        <v>1335</v>
      </c>
      <c r="E27" s="19">
        <f>SUMIF(Data_Interim!$C:$C,$B27,Data_Interim!P:P)</f>
        <v>-923</v>
      </c>
      <c r="F27" s="9" t="str">
        <f t="shared" si="0"/>
        <v>▼</v>
      </c>
      <c r="G27" s="15">
        <f t="shared" si="1"/>
        <v>-2258</v>
      </c>
      <c r="H27" s="14"/>
    </row>
    <row r="28" spans="2:17" x14ac:dyDescent="0.3">
      <c r="B28" s="18"/>
      <c r="C28" s="19"/>
      <c r="D28" s="19"/>
      <c r="E28" s="19"/>
      <c r="F28" s="9"/>
      <c r="G28" s="15"/>
      <c r="H28" s="14"/>
    </row>
    <row r="29" spans="2:17" ht="7.5" customHeight="1" x14ac:dyDescent="0.3"/>
    <row r="30" spans="2:17" ht="15.75" customHeight="1" x14ac:dyDescent="0.3">
      <c r="B30" s="122" t="s">
        <v>60</v>
      </c>
      <c r="J30" s="122" t="s">
        <v>104</v>
      </c>
      <c r="K30" s="122"/>
      <c r="L30" s="122"/>
    </row>
    <row r="31" spans="2:17" ht="6.75" customHeight="1" thickBot="1" x14ac:dyDescent="0.35"/>
    <row r="32" spans="2:17" s="50" customFormat="1" ht="30.6" thickBot="1" x14ac:dyDescent="0.35">
      <c r="B32" s="210"/>
      <c r="C32" s="211" t="str">
        <f t="shared" ref="C32:E32" si="14">C3</f>
        <v>3 Months 2021</v>
      </c>
      <c r="D32" s="211" t="str">
        <f t="shared" si="14"/>
        <v>3 Months 2022</v>
      </c>
      <c r="E32" s="211" t="str">
        <f t="shared" si="14"/>
        <v>3 Months 2023</v>
      </c>
      <c r="F32" s="239" t="str">
        <f>CONCATENATE(Data_Interim!P3," vs. ",Data_Interim!O3)</f>
        <v>2023 vs. 2022</v>
      </c>
      <c r="G32" s="239"/>
      <c r="H32" s="239"/>
      <c r="J32" s="212">
        <f>Data_Interim!N3</f>
        <v>2021</v>
      </c>
      <c r="K32" s="212">
        <f>Data_Interim!O3</f>
        <v>2022</v>
      </c>
      <c r="L32" s="212">
        <f>Data_Interim!P3</f>
        <v>2023</v>
      </c>
      <c r="N32" s="1"/>
      <c r="O32" s="1"/>
      <c r="P32" s="1"/>
      <c r="Q32" s="1"/>
    </row>
    <row r="33" spans="2:17" s="89" customFormat="1" x14ac:dyDescent="0.3">
      <c r="B33" s="89" t="s">
        <v>145</v>
      </c>
      <c r="C33" s="91">
        <f>SUMIF(Data_Interim!$C:$C,$B33,Data_Interim!N:N)</f>
        <v>61111135.769019611</v>
      </c>
      <c r="D33" s="91">
        <f>SUMIF(Data_Interim!$C:$C,$B33,Data_Interim!O:O)</f>
        <v>78563835.220043853</v>
      </c>
      <c r="E33" s="91">
        <f>SUMIF(Data_Interim!$C:$C,$B33,Data_Interim!P:P)</f>
        <v>66619675.870000005</v>
      </c>
      <c r="F33" s="9" t="str">
        <f t="shared" ref="F33:F38" si="15">IF(E33+D33&gt;0,IF(E33&gt;D33,"▲",IF(E33=D33,"▬","▼")),IF(E33&gt;D33,"▼",IF(E33=D33,"▬","▲")))</f>
        <v>▼</v>
      </c>
      <c r="G33" s="13">
        <f t="shared" ref="G33:G38" si="16">E33-D33</f>
        <v>-11944159.350043848</v>
      </c>
      <c r="H33" s="14">
        <f t="shared" ref="H33:H38" si="17">E33/D33-1</f>
        <v>-0.15203126625107222</v>
      </c>
      <c r="I33" s="22"/>
      <c r="J33" s="92">
        <f t="shared" ref="J33:L37" si="18">C33/C$38</f>
        <v>0.8275709839463119</v>
      </c>
      <c r="K33" s="92">
        <f t="shared" si="18"/>
        <v>0.82382128156159684</v>
      </c>
      <c r="L33" s="93">
        <f t="shared" si="18"/>
        <v>0.74126668407013241</v>
      </c>
      <c r="N33" s="22"/>
      <c r="O33" s="22"/>
      <c r="P33" s="22"/>
      <c r="Q33" s="22"/>
    </row>
    <row r="34" spans="2:17" s="89" customFormat="1" x14ac:dyDescent="0.3">
      <c r="B34" s="89" t="s">
        <v>257</v>
      </c>
      <c r="C34" s="9">
        <f>SUMIF(Data_Interim!$C:$C,$B34,Data_Interim!N:N)</f>
        <v>4111542.3080371786</v>
      </c>
      <c r="D34" s="9">
        <f>SUMIF(Data_Interim!$C:$C,$B34,Data_Interim!O:O)</f>
        <v>4191998.304409449</v>
      </c>
      <c r="E34" s="9">
        <f>SUMIF(Data_Interim!$C:$C,$B34,Data_Interim!P:P)</f>
        <v>3030774.19</v>
      </c>
      <c r="F34" s="9" t="str">
        <f t="shared" si="15"/>
        <v>▼</v>
      </c>
      <c r="G34" s="13">
        <f t="shared" si="16"/>
        <v>-1161224.114409449</v>
      </c>
      <c r="H34" s="14">
        <f>E34/D34-1</f>
        <v>-0.27700968132262582</v>
      </c>
      <c r="I34" s="22"/>
      <c r="J34" s="93">
        <f t="shared" si="18"/>
        <v>5.5678773935079896E-2</v>
      </c>
      <c r="K34" s="93">
        <f t="shared" si="18"/>
        <v>4.3957342532605373E-2</v>
      </c>
      <c r="L34" s="93">
        <f t="shared" si="18"/>
        <v>3.3722949033415064E-2</v>
      </c>
      <c r="N34" s="22"/>
      <c r="O34" s="22"/>
      <c r="P34" s="22"/>
      <c r="Q34" s="22"/>
    </row>
    <row r="35" spans="2:17" s="89" customFormat="1" x14ac:dyDescent="0.3">
      <c r="B35" s="89" t="s">
        <v>61</v>
      </c>
      <c r="C35" s="9">
        <f>SUMIF(Data_Interim!$C:$C,$B35,Data_Interim!N:N)</f>
        <v>673248.48000000021</v>
      </c>
      <c r="D35" s="9">
        <f>SUMIF(Data_Interim!$C:$C,$B35,Data_Interim!O:O)</f>
        <v>927024.20999999973</v>
      </c>
      <c r="E35" s="9">
        <f>SUMIF(Data_Interim!$C:$C,$B35,Data_Interim!P:P)</f>
        <v>1285493.02</v>
      </c>
      <c r="F35" s="9" t="str">
        <f t="shared" si="15"/>
        <v>▲</v>
      </c>
      <c r="G35" s="13">
        <f t="shared" si="16"/>
        <v>358468.81000000029</v>
      </c>
      <c r="H35" s="14">
        <f t="shared" si="17"/>
        <v>0.38668764648552201</v>
      </c>
      <c r="I35" s="22"/>
      <c r="J35" s="93">
        <f t="shared" si="18"/>
        <v>9.1171748000208608E-3</v>
      </c>
      <c r="K35" s="93">
        <f t="shared" si="18"/>
        <v>9.7207865499670098E-3</v>
      </c>
      <c r="L35" s="93">
        <f t="shared" si="18"/>
        <v>1.430347920320346E-2</v>
      </c>
      <c r="N35" s="22"/>
      <c r="O35" s="22"/>
      <c r="P35" s="22"/>
      <c r="Q35" s="22"/>
    </row>
    <row r="36" spans="2:17" s="89" customFormat="1" x14ac:dyDescent="0.3">
      <c r="B36" s="89" t="s">
        <v>62</v>
      </c>
      <c r="C36" s="9">
        <f>SUMIF(Data_Interim!$C:$C,$B36,Data_Interim!N:N)</f>
        <v>7099548.3660947885</v>
      </c>
      <c r="D36" s="9">
        <f>SUMIF(Data_Interim!$C:$C,$B36,Data_Interim!O:O)</f>
        <v>6095418.8349564169</v>
      </c>
      <c r="E36" s="9">
        <f>SUMIF(Data_Interim!$C:$C,$B36,Data_Interim!P:P)</f>
        <v>16453521.210000001</v>
      </c>
      <c r="F36" s="9" t="str">
        <f t="shared" si="15"/>
        <v>▲</v>
      </c>
      <c r="G36" s="13">
        <f t="shared" si="16"/>
        <v>10358102.375043584</v>
      </c>
      <c r="H36" s="14">
        <f t="shared" si="17"/>
        <v>1.6993257814608644</v>
      </c>
      <c r="I36" s="22"/>
      <c r="J36" s="93">
        <f t="shared" si="18"/>
        <v>9.6142546738298862E-2</v>
      </c>
      <c r="K36" s="93">
        <f t="shared" si="18"/>
        <v>6.391663215274597E-2</v>
      </c>
      <c r="L36" s="93">
        <f t="shared" si="18"/>
        <v>0.18307574975918736</v>
      </c>
      <c r="N36" s="22"/>
      <c r="O36" s="22"/>
      <c r="P36" s="22"/>
      <c r="Q36" s="22"/>
    </row>
    <row r="37" spans="2:17" s="89" customFormat="1" ht="15" thickBot="1" x14ac:dyDescent="0.35">
      <c r="B37" s="89" t="s">
        <v>63</v>
      </c>
      <c r="C37" s="9">
        <f>SUMIF(Data_Interim!$C:$C,$B37,Data_Interim!N:N)</f>
        <v>848505.78</v>
      </c>
      <c r="D37" s="9">
        <f>SUMIF(Data_Interim!$C:$C,$B37,Data_Interim!O:O)</f>
        <v>5586867.5199999996</v>
      </c>
      <c r="E37" s="9">
        <f>SUMIF(Data_Interim!$C:$C,$B37,Data_Interim!P:P)</f>
        <v>2483286.3699999996</v>
      </c>
      <c r="F37" s="9" t="str">
        <f t="shared" si="15"/>
        <v>▼</v>
      </c>
      <c r="G37" s="13">
        <f t="shared" si="16"/>
        <v>-3103581.15</v>
      </c>
      <c r="H37" s="14">
        <f t="shared" si="17"/>
        <v>-0.55551364675996473</v>
      </c>
      <c r="I37" s="22"/>
      <c r="J37" s="93">
        <f t="shared" si="18"/>
        <v>1.1490520580288637E-2</v>
      </c>
      <c r="K37" s="93">
        <f t="shared" si="18"/>
        <v>5.858395720308486E-2</v>
      </c>
      <c r="L37" s="93">
        <f t="shared" si="18"/>
        <v>2.7631137934061755E-2</v>
      </c>
      <c r="N37" s="22"/>
      <c r="O37" s="22"/>
      <c r="P37" s="22"/>
      <c r="Q37" s="22"/>
    </row>
    <row r="38" spans="2:17" s="22" customFormat="1" ht="15" thickBot="1" x14ac:dyDescent="0.35">
      <c r="B38" s="12"/>
      <c r="C38" s="16">
        <f t="shared" ref="C38:E38" si="19">SUM(C33:C37)</f>
        <v>73843980.703151569</v>
      </c>
      <c r="D38" s="16">
        <f t="shared" si="19"/>
        <v>95365144.089409709</v>
      </c>
      <c r="E38" s="16">
        <f t="shared" si="19"/>
        <v>89872750.659999996</v>
      </c>
      <c r="F38" s="48" t="str">
        <f t="shared" si="15"/>
        <v>▼</v>
      </c>
      <c r="G38" s="38">
        <f t="shared" si="16"/>
        <v>-5492393.4294097126</v>
      </c>
      <c r="H38" s="17">
        <f t="shared" si="17"/>
        <v>-5.759330080034597E-2</v>
      </c>
      <c r="J38" s="90">
        <f t="shared" ref="J38:L38" si="20">SUM(J33:J37)</f>
        <v>1.0000000000000002</v>
      </c>
      <c r="K38" s="90">
        <f t="shared" si="20"/>
        <v>1.0000000000000002</v>
      </c>
      <c r="L38" s="90">
        <f t="shared" si="20"/>
        <v>1</v>
      </c>
    </row>
    <row r="39" spans="2:17" s="21" customFormat="1" ht="15.75" customHeight="1" x14ac:dyDescent="0.3">
      <c r="B39" s="26"/>
      <c r="C39" s="83">
        <f t="shared" ref="C39:E39" si="21">C38-C4</f>
        <v>0</v>
      </c>
      <c r="D39" s="83">
        <f t="shared" si="21"/>
        <v>0</v>
      </c>
      <c r="E39" s="83">
        <f t="shared" si="21"/>
        <v>0</v>
      </c>
      <c r="F39" s="49"/>
      <c r="G39" s="27"/>
      <c r="H39" s="28"/>
      <c r="K39" s="30"/>
      <c r="N39" s="1"/>
      <c r="O39" s="1"/>
      <c r="P39" s="1"/>
      <c r="Q39" s="1"/>
    </row>
    <row r="40" spans="2:17" ht="18.75" customHeight="1" x14ac:dyDescent="0.3">
      <c r="B40" s="127" t="s">
        <v>197</v>
      </c>
      <c r="E40" s="30"/>
      <c r="H40" s="67"/>
    </row>
    <row r="41" spans="2:17" ht="8.25" customHeight="1" thickBot="1" x14ac:dyDescent="0.35"/>
    <row r="42" spans="2:17" s="50" customFormat="1" ht="32.25" customHeight="1" thickBot="1" x14ac:dyDescent="0.35">
      <c r="B42" s="210" t="s">
        <v>0</v>
      </c>
      <c r="C42" s="211" t="str">
        <f t="shared" ref="C42:E42" si="22">C32</f>
        <v>3 Months 2021</v>
      </c>
      <c r="D42" s="211" t="str">
        <f t="shared" si="22"/>
        <v>3 Months 2022</v>
      </c>
      <c r="E42" s="211" t="str">
        <f t="shared" si="22"/>
        <v>3 Months 2023</v>
      </c>
      <c r="F42" s="239" t="str">
        <f>CONCATENATE(Data_Interim!P3," vs. ",Data_Interim!O3)</f>
        <v>2023 vs. 2022</v>
      </c>
      <c r="G42" s="239"/>
      <c r="H42" s="239"/>
      <c r="K42" s="51"/>
    </row>
    <row r="43" spans="2:17" x14ac:dyDescent="0.3">
      <c r="B43" s="20" t="s">
        <v>54</v>
      </c>
      <c r="C43" s="9">
        <f>SUMIF(Data_Interim!$C:$C,$B43,Data_Interim!N:N)</f>
        <v>134335.52000000002</v>
      </c>
      <c r="D43" s="9">
        <f>SUMIF(Data_Interim!$C:$C,$B43,Data_Interim!O:O)</f>
        <v>137236.01000000071</v>
      </c>
      <c r="E43" s="9">
        <f>SUMIF(Data_Interim!$C:$C,$B43,Data_Interim!P:P)</f>
        <v>131458.89000000001</v>
      </c>
      <c r="F43" s="9" t="str">
        <f t="shared" ref="F43:F45" si="23">IF(E43+D43&gt;0,IF(E43&gt;D43,"▲",IF(E43=D43,"▬","▼")),IF(E43&gt;D43,"▼",IF(E43=D43,"▬","▲")))</f>
        <v>▼</v>
      </c>
      <c r="G43" s="23">
        <f t="shared" ref="G43:G45" si="24">E43-D43</f>
        <v>-5777.1200000006938</v>
      </c>
      <c r="H43" s="14">
        <f t="shared" ref="H43:H45" si="25">E43/D43-1</f>
        <v>-4.2096239900887955E-2</v>
      </c>
    </row>
    <row r="44" spans="2:17" ht="15" thickBot="1" x14ac:dyDescent="0.35">
      <c r="B44" s="20" t="s">
        <v>103</v>
      </c>
      <c r="C44" s="9">
        <f>SUMIF(Data_Interim!$C:$C,$B44,Data_Interim!N:N)</f>
        <v>936423.2</v>
      </c>
      <c r="D44" s="9">
        <f>SUMIF(Data_Interim!$C:$C,$B44,Data_Interim!O:O)</f>
        <v>936422.94</v>
      </c>
      <c r="E44" s="9">
        <f>SUMIF(Data_Interim!$C:$C,$B44,Data_Interim!P:P)</f>
        <v>900054.2</v>
      </c>
      <c r="F44" s="9" t="str">
        <f t="shared" si="23"/>
        <v>▼</v>
      </c>
      <c r="G44" s="23">
        <f t="shared" si="24"/>
        <v>-36368.739999999991</v>
      </c>
      <c r="H44" s="14">
        <f t="shared" si="25"/>
        <v>-3.8837942180271701E-2</v>
      </c>
    </row>
    <row r="45" spans="2:17" ht="15" thickBot="1" x14ac:dyDescent="0.35">
      <c r="B45" s="12"/>
      <c r="C45" s="16">
        <f>SUM(C43:C44)</f>
        <v>1070758.72</v>
      </c>
      <c r="D45" s="16">
        <f>SUM(D43:D44)</f>
        <v>1073658.9500000007</v>
      </c>
      <c r="E45" s="16">
        <f>SUM(E43:E44)</f>
        <v>1031513.09</v>
      </c>
      <c r="F45" s="48" t="str">
        <f t="shared" si="23"/>
        <v>▼</v>
      </c>
      <c r="G45" s="24">
        <f t="shared" si="24"/>
        <v>-42145.860000000685</v>
      </c>
      <c r="H45" s="17">
        <f t="shared" si="25"/>
        <v>-3.925442059603812E-2</v>
      </c>
    </row>
    <row r="46" spans="2:17" x14ac:dyDescent="0.3">
      <c r="C46" s="75">
        <f>C45-C5</f>
        <v>0</v>
      </c>
      <c r="D46" s="75">
        <f>D45-D5</f>
        <v>0</v>
      </c>
      <c r="E46" s="75">
        <f>E45-E5</f>
        <v>0</v>
      </c>
    </row>
    <row r="47" spans="2:17" x14ac:dyDescent="0.3">
      <c r="B47" s="127" t="s">
        <v>72</v>
      </c>
      <c r="J47" s="236" t="s">
        <v>158</v>
      </c>
      <c r="K47" s="236"/>
      <c r="L47" s="236"/>
    </row>
    <row r="48" spans="2:17" ht="15" thickBot="1" x14ac:dyDescent="0.35"/>
    <row r="49" spans="2:12" ht="30.6" thickBot="1" x14ac:dyDescent="0.35">
      <c r="B49" s="210" t="s">
        <v>0</v>
      </c>
      <c r="C49" s="211" t="str">
        <f>C3</f>
        <v>3 Months 2021</v>
      </c>
      <c r="D49" s="211" t="str">
        <f>D3</f>
        <v>3 Months 2022</v>
      </c>
      <c r="E49" s="211" t="str">
        <f>E3</f>
        <v>3 Months 2023</v>
      </c>
      <c r="F49" s="239" t="str">
        <f>CONCATENATE(Data_Interim!P3," vs. ",Data_Interim!O3)</f>
        <v>2023 vs. 2022</v>
      </c>
      <c r="G49" s="239"/>
      <c r="H49" s="239"/>
      <c r="J49" s="212">
        <f>Data_Interim!N3</f>
        <v>2021</v>
      </c>
      <c r="K49" s="212">
        <f>Data_Interim!O3</f>
        <v>2022</v>
      </c>
      <c r="L49" s="212">
        <f>Data_Interim!P3</f>
        <v>2023</v>
      </c>
    </row>
    <row r="50" spans="2:12" x14ac:dyDescent="0.3">
      <c r="B50" s="20" t="s">
        <v>45</v>
      </c>
      <c r="C50" s="9">
        <f>SUMIF(Data_Interim!$C:$C,$B50,Data_Interim!N:N)</f>
        <v>73843980.703151584</v>
      </c>
      <c r="D50" s="9">
        <f>SUMIF(Data_Interim!$C:$C,$B50,Data_Interim!O:O)</f>
        <v>95365144.089409724</v>
      </c>
      <c r="E50" s="9">
        <f>SUMIF(Data_Interim!$C:$C,$B50,Data_Interim!P:P)</f>
        <v>89872750.660000011</v>
      </c>
      <c r="F50" s="9" t="str">
        <f t="shared" ref="F50" si="26">IF(E50+D50&gt;0,IF(E50&gt;D50,"▲",IF(E50=D50,"▬","▼")),IF(E50&gt;D50,"▼",IF(E50=D50,"▬","▲")))</f>
        <v>▼</v>
      </c>
      <c r="G50" s="23">
        <f t="shared" ref="G50" si="27">E50-D50</f>
        <v>-5492393.4294097126</v>
      </c>
      <c r="H50" s="14">
        <f t="shared" ref="H50" si="28">E50/D50-1</f>
        <v>-5.759330080034597E-2</v>
      </c>
      <c r="J50" s="92">
        <f t="shared" ref="J50:L51" si="29">C50/C$52</f>
        <v>0.99818412303958393</v>
      </c>
      <c r="K50" s="92">
        <f t="shared" si="29"/>
        <v>0.99856300953068233</v>
      </c>
      <c r="L50" s="92">
        <f t="shared" si="29"/>
        <v>0.99853941398233192</v>
      </c>
    </row>
    <row r="51" spans="2:12" ht="15" thickBot="1" x14ac:dyDescent="0.35">
      <c r="B51" s="20" t="s">
        <v>54</v>
      </c>
      <c r="C51" s="9">
        <f>SUMIF(Data_Interim!$C:$C,$B51,Data_Interim!N:N)</f>
        <v>134335.52000000002</v>
      </c>
      <c r="D51" s="9">
        <f>SUMIF(Data_Interim!$C:$C,$B51,Data_Interim!O:O)</f>
        <v>137236.01000000071</v>
      </c>
      <c r="E51" s="9">
        <f>SUMIF(Data_Interim!$C:$C,$B51,Data_Interim!P:P)</f>
        <v>131458.89000000001</v>
      </c>
      <c r="F51" s="9" t="str">
        <f t="shared" ref="F51:F52" si="30">IF(E51+D51&gt;0,IF(E51&gt;D51,"▲",IF(E51=D51,"▬","▼")),IF(E51&gt;D51,"▼",IF(E51=D51,"▬","▲")))</f>
        <v>▼</v>
      </c>
      <c r="G51" s="23">
        <f t="shared" ref="G51:G52" si="31">E51-D51</f>
        <v>-5777.1200000006938</v>
      </c>
      <c r="H51" s="14">
        <f t="shared" ref="H51:H52" si="32">E51/D51-1</f>
        <v>-4.2096239900887955E-2</v>
      </c>
      <c r="J51" s="93">
        <f t="shared" si="29"/>
        <v>1.8158769604161335E-3</v>
      </c>
      <c r="K51" s="93">
        <f t="shared" si="29"/>
        <v>1.4369904693176221E-3</v>
      </c>
      <c r="L51" s="93">
        <f t="shared" si="29"/>
        <v>1.4605860176681036E-3</v>
      </c>
    </row>
    <row r="52" spans="2:12" ht="15" thickBot="1" x14ac:dyDescent="0.35">
      <c r="B52" s="12" t="s">
        <v>148</v>
      </c>
      <c r="C52" s="16">
        <f t="shared" ref="C52:E52" si="33">C50+C51</f>
        <v>73978316.223151579</v>
      </c>
      <c r="D52" s="16">
        <f t="shared" si="33"/>
        <v>95502380.099409729</v>
      </c>
      <c r="E52" s="16">
        <f t="shared" si="33"/>
        <v>90004209.550000012</v>
      </c>
      <c r="F52" s="48" t="str">
        <f t="shared" si="30"/>
        <v>▼</v>
      </c>
      <c r="G52" s="24">
        <f t="shared" si="31"/>
        <v>-5498170.5494097173</v>
      </c>
      <c r="H52" s="17">
        <f t="shared" si="32"/>
        <v>-5.7571031671531103E-2</v>
      </c>
      <c r="J52" s="90">
        <f t="shared" ref="J52:L52" si="34">J50+J51</f>
        <v>1</v>
      </c>
      <c r="K52" s="90">
        <f t="shared" si="34"/>
        <v>1</v>
      </c>
      <c r="L52" s="90">
        <f t="shared" si="34"/>
        <v>1</v>
      </c>
    </row>
    <row r="53" spans="2:12" x14ac:dyDescent="0.3">
      <c r="C53" s="31"/>
      <c r="D53" s="31"/>
      <c r="E53" s="31"/>
      <c r="J53" s="93"/>
      <c r="K53" s="93"/>
    </row>
    <row r="54" spans="2:12" x14ac:dyDescent="0.3">
      <c r="B54" s="25" t="s">
        <v>59</v>
      </c>
    </row>
    <row r="56" spans="2:12" x14ac:dyDescent="0.3">
      <c r="C56" s="31"/>
      <c r="D56" s="31"/>
      <c r="E56" s="31"/>
    </row>
    <row r="57" spans="2:12" x14ac:dyDescent="0.3">
      <c r="C57" s="31"/>
      <c r="D57" s="31"/>
      <c r="E57" s="31"/>
    </row>
  </sheetData>
  <mergeCells count="5">
    <mergeCell ref="F3:H3"/>
    <mergeCell ref="F42:H42"/>
    <mergeCell ref="F32:H32"/>
    <mergeCell ref="F49:H49"/>
    <mergeCell ref="J47:L47"/>
  </mergeCells>
  <conditionalFormatting sqref="F4:F11 F33:F37 F13:F15 F43:F44 F17 F26:F27">
    <cfRule type="expression" dxfId="54" priority="84">
      <formula>E4=D4</formula>
    </cfRule>
    <cfRule type="expression" dxfId="53" priority="85">
      <formula>E4&lt;D4</formula>
    </cfRule>
    <cfRule type="expression" dxfId="52" priority="86">
      <formula>E4&gt;D4</formula>
    </cfRule>
  </conditionalFormatting>
  <conditionalFormatting sqref="F38">
    <cfRule type="expression" dxfId="51" priority="78">
      <formula>E38=D38</formula>
    </cfRule>
    <cfRule type="expression" dxfId="50" priority="79">
      <formula>E38&lt;D38</formula>
    </cfRule>
    <cfRule type="expression" dxfId="49" priority="80">
      <formula>E38&gt;D38</formula>
    </cfRule>
  </conditionalFormatting>
  <conditionalFormatting sqref="F45">
    <cfRule type="expression" dxfId="48" priority="72">
      <formula>E45=D45</formula>
    </cfRule>
    <cfRule type="expression" dxfId="47" priority="73">
      <formula>E45&lt;D45</formula>
    </cfRule>
    <cfRule type="expression" dxfId="46" priority="74">
      <formula>E45&gt;D45</formula>
    </cfRule>
  </conditionalFormatting>
  <conditionalFormatting sqref="F50">
    <cfRule type="expression" dxfId="45" priority="69">
      <formula>E50=D50</formula>
    </cfRule>
    <cfRule type="expression" dxfId="44" priority="70">
      <formula>E50&lt;D50</formula>
    </cfRule>
    <cfRule type="expression" dxfId="43" priority="71">
      <formula>E50&gt;D50</formula>
    </cfRule>
  </conditionalFormatting>
  <conditionalFormatting sqref="F51">
    <cfRule type="expression" dxfId="42" priority="66">
      <formula>E51=D51</formula>
    </cfRule>
    <cfRule type="expression" dxfId="41" priority="67">
      <formula>E51&lt;D51</formula>
    </cfRule>
    <cfRule type="expression" dxfId="40" priority="68">
      <formula>E51&gt;D51</formula>
    </cfRule>
  </conditionalFormatting>
  <conditionalFormatting sqref="F52">
    <cfRule type="expression" dxfId="39" priority="60">
      <formula>E52=D52</formula>
    </cfRule>
    <cfRule type="expression" dxfId="38" priority="61">
      <formula>E52&lt;D52</formula>
    </cfRule>
    <cfRule type="expression" dxfId="37" priority="62">
      <formula>E52&gt;D52</formula>
    </cfRule>
  </conditionalFormatting>
  <conditionalFormatting sqref="H4:H11 H13:H15 H17">
    <cfRule type="containsErrors" dxfId="36" priority="53">
      <formula>ISERROR(H4)</formula>
    </cfRule>
  </conditionalFormatting>
  <conditionalFormatting sqref="H43:H44">
    <cfRule type="containsErrors" dxfId="35" priority="52">
      <formula>ISERROR(H43)</formula>
    </cfRule>
  </conditionalFormatting>
  <conditionalFormatting sqref="H3">
    <cfRule type="containsErrors" dxfId="34" priority="47">
      <formula>ISERROR(H3)</formula>
    </cfRule>
  </conditionalFormatting>
  <conditionalFormatting sqref="F12">
    <cfRule type="expression" dxfId="33" priority="44">
      <formula>E12=D12</formula>
    </cfRule>
    <cfRule type="expression" dxfId="32" priority="45">
      <formula>E12&lt;D12</formula>
    </cfRule>
    <cfRule type="expression" dxfId="31" priority="46">
      <formula>E12&gt;D12</formula>
    </cfRule>
  </conditionalFormatting>
  <conditionalFormatting sqref="H12">
    <cfRule type="containsErrors" dxfId="30" priority="43">
      <formula>ISERROR(H12)</formula>
    </cfRule>
  </conditionalFormatting>
  <conditionalFormatting sqref="F16">
    <cfRule type="expression" dxfId="29" priority="40">
      <formula>E16=D16</formula>
    </cfRule>
    <cfRule type="expression" dxfId="28" priority="41">
      <formula>E16&lt;D16</formula>
    </cfRule>
    <cfRule type="expression" dxfId="27" priority="42">
      <formula>E16&gt;D16</formula>
    </cfRule>
  </conditionalFormatting>
  <conditionalFormatting sqref="H16">
    <cfRule type="containsErrors" dxfId="26" priority="39">
      <formula>ISERROR(H16)</formula>
    </cfRule>
  </conditionalFormatting>
  <conditionalFormatting sqref="F18">
    <cfRule type="expression" dxfId="25" priority="36">
      <formula>E18=D18</formula>
    </cfRule>
    <cfRule type="expression" dxfId="24" priority="37">
      <formula>E18&lt;D18</formula>
    </cfRule>
    <cfRule type="expression" dxfId="23" priority="38">
      <formula>E18&gt;D18</formula>
    </cfRule>
  </conditionalFormatting>
  <conditionalFormatting sqref="H18">
    <cfRule type="containsErrors" dxfId="22" priority="35">
      <formula>ISERROR(H18)</formula>
    </cfRule>
  </conditionalFormatting>
  <conditionalFormatting sqref="H32">
    <cfRule type="containsErrors" dxfId="21" priority="30">
      <formula>ISERROR(H32)</formula>
    </cfRule>
  </conditionalFormatting>
  <conditionalFormatting sqref="H42">
    <cfRule type="containsErrors" dxfId="20" priority="29">
      <formula>ISERROR(H42)</formula>
    </cfRule>
  </conditionalFormatting>
  <conditionalFormatting sqref="H49">
    <cfRule type="containsErrors" dxfId="19" priority="28">
      <formula>ISERROR(H49)</formula>
    </cfRule>
  </conditionalFormatting>
  <conditionalFormatting sqref="F28">
    <cfRule type="expression" dxfId="18" priority="25">
      <formula>E28=D28</formula>
    </cfRule>
    <cfRule type="expression" dxfId="17" priority="26">
      <formula>E28&lt;D28</formula>
    </cfRule>
    <cfRule type="expression" dxfId="16" priority="27">
      <formula>E28&gt;D28</formula>
    </cfRule>
  </conditionalFormatting>
  <conditionalFormatting sqref="F19:F20">
    <cfRule type="expression" dxfId="15" priority="14">
      <formula>E19=D19</formula>
    </cfRule>
    <cfRule type="expression" dxfId="14" priority="15">
      <formula>E19&lt;D19</formula>
    </cfRule>
    <cfRule type="expression" dxfId="13" priority="16">
      <formula>E19&gt;D19</formula>
    </cfRule>
  </conditionalFormatting>
  <conditionalFormatting sqref="H19:H20">
    <cfRule type="containsErrors" dxfId="12" priority="13">
      <formula>ISERROR(H19)</formula>
    </cfRule>
  </conditionalFormatting>
  <conditionalFormatting sqref="F22:F24">
    <cfRule type="expression" dxfId="11" priority="10">
      <formula>E22=D22</formula>
    </cfRule>
    <cfRule type="expression" dxfId="10" priority="11">
      <formula>E22&lt;D22</formula>
    </cfRule>
    <cfRule type="expression" dxfId="9" priority="12">
      <formula>E22&gt;D22</formula>
    </cfRule>
  </conditionalFormatting>
  <conditionalFormatting sqref="H22:H24">
    <cfRule type="containsErrors" dxfId="8" priority="9">
      <formula>ISERROR(H22)</formula>
    </cfRule>
  </conditionalFormatting>
  <conditionalFormatting sqref="F21">
    <cfRule type="expression" dxfId="7" priority="6">
      <formula>E21=D21</formula>
    </cfRule>
    <cfRule type="expression" dxfId="6" priority="7">
      <formula>E21&lt;D21</formula>
    </cfRule>
    <cfRule type="expression" dxfId="5" priority="8">
      <formula>E21&gt;D21</formula>
    </cfRule>
  </conditionalFormatting>
  <conditionalFormatting sqref="H21">
    <cfRule type="containsErrors" dxfId="4" priority="5">
      <formula>ISERROR(H21)</formula>
    </cfRule>
  </conditionalFormatting>
  <conditionalFormatting sqref="F25">
    <cfRule type="expression" dxfId="3" priority="2">
      <formula>E25=D25</formula>
    </cfRule>
    <cfRule type="expression" dxfId="2" priority="3">
      <formula>E25&lt;D25</formula>
    </cfRule>
    <cfRule type="expression" dxfId="1" priority="4">
      <formula>E25&gt;D25</formula>
    </cfRule>
  </conditionalFormatting>
  <conditionalFormatting sqref="H25">
    <cfRule type="containsErrors" dxfId="0" priority="1">
      <formula>ISERROR(H25)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0F78-23DD-49CB-B1D8-A95289B04ED9}">
  <dimension ref="B2:E52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5" sqref="I15"/>
    </sheetView>
  </sheetViews>
  <sheetFormatPr defaultRowHeight="14.4" x14ac:dyDescent="0.3"/>
  <cols>
    <col min="2" max="2" width="77.44140625" bestFit="1" customWidth="1"/>
    <col min="3" max="3" width="12.33203125" bestFit="1" customWidth="1"/>
    <col min="4" max="4" width="12" bestFit="1" customWidth="1"/>
    <col min="5" max="5" width="11.5546875" bestFit="1" customWidth="1"/>
  </cols>
  <sheetData>
    <row r="2" spans="2:5" ht="15" thickBot="1" x14ac:dyDescent="0.35">
      <c r="B2" s="172"/>
      <c r="C2" s="189">
        <v>45016</v>
      </c>
      <c r="D2" s="180">
        <v>44651</v>
      </c>
      <c r="E2" s="180">
        <v>44286</v>
      </c>
    </row>
    <row r="3" spans="2:5" x14ac:dyDescent="0.3">
      <c r="B3" s="173" t="s">
        <v>311</v>
      </c>
      <c r="C3" s="190"/>
      <c r="D3" s="181"/>
      <c r="E3" s="181"/>
    </row>
    <row r="4" spans="2:5" x14ac:dyDescent="0.3">
      <c r="B4" s="174" t="s">
        <v>312</v>
      </c>
      <c r="C4" s="191">
        <v>2837415.2872605845</v>
      </c>
      <c r="D4" s="182">
        <v>4471701.7805453883</v>
      </c>
      <c r="E4" s="182">
        <v>602170.24386211683</v>
      </c>
    </row>
    <row r="5" spans="2:5" x14ac:dyDescent="0.3">
      <c r="B5" s="174" t="s">
        <v>310</v>
      </c>
      <c r="C5" s="192"/>
      <c r="D5" s="183"/>
      <c r="E5" s="183"/>
    </row>
    <row r="6" spans="2:5" x14ac:dyDescent="0.3">
      <c r="B6" s="175" t="s">
        <v>276</v>
      </c>
      <c r="C6" s="192">
        <v>543338</v>
      </c>
      <c r="D6" s="183">
        <v>377230</v>
      </c>
      <c r="E6" s="183">
        <v>131261</v>
      </c>
    </row>
    <row r="7" spans="2:5" x14ac:dyDescent="0.3">
      <c r="B7" s="175" t="s">
        <v>277</v>
      </c>
      <c r="C7" s="192">
        <v>946949.30938685709</v>
      </c>
      <c r="D7" s="183">
        <v>566572.51807619049</v>
      </c>
      <c r="E7" s="183">
        <v>466678.54833428568</v>
      </c>
    </row>
    <row r="8" spans="2:5" x14ac:dyDescent="0.3">
      <c r="B8" s="175" t="s">
        <v>278</v>
      </c>
      <c r="C8" s="192">
        <v>238.09523809523853</v>
      </c>
      <c r="D8" s="183">
        <v>-9000</v>
      </c>
      <c r="E8" s="183">
        <v>267</v>
      </c>
    </row>
    <row r="9" spans="2:5" x14ac:dyDescent="0.3">
      <c r="B9" s="175" t="s">
        <v>331</v>
      </c>
      <c r="C9" s="192">
        <v>-3992451</v>
      </c>
      <c r="D9" s="183"/>
      <c r="E9" s="183"/>
    </row>
    <row r="10" spans="2:5" x14ac:dyDescent="0.3">
      <c r="B10" s="175" t="s">
        <v>279</v>
      </c>
      <c r="C10" s="192">
        <v>-10938.257142857143</v>
      </c>
      <c r="D10" s="183">
        <v>-894045.42857142864</v>
      </c>
      <c r="E10" s="183">
        <v>-27144.190476190473</v>
      </c>
    </row>
    <row r="11" spans="2:5" x14ac:dyDescent="0.3">
      <c r="B11" s="175" t="s">
        <v>280</v>
      </c>
      <c r="C11" s="192">
        <v>-247396.35865257145</v>
      </c>
      <c r="D11" s="183">
        <v>-29463.439999999999</v>
      </c>
      <c r="E11" s="183">
        <v>-41009.19</v>
      </c>
    </row>
    <row r="12" spans="2:5" x14ac:dyDescent="0.3">
      <c r="B12" s="175" t="s">
        <v>281</v>
      </c>
      <c r="C12" s="192">
        <v>1427</v>
      </c>
      <c r="D12" s="183">
        <v>188.05</v>
      </c>
      <c r="E12" s="183">
        <v>0</v>
      </c>
    </row>
    <row r="13" spans="2:5" x14ac:dyDescent="0.3">
      <c r="B13" s="175" t="s">
        <v>332</v>
      </c>
      <c r="C13" s="192">
        <v>-1427</v>
      </c>
      <c r="D13" s="183">
        <v>0</v>
      </c>
      <c r="E13" s="183">
        <v>0</v>
      </c>
    </row>
    <row r="14" spans="2:5" x14ac:dyDescent="0.3">
      <c r="B14" s="175" t="s">
        <v>282</v>
      </c>
      <c r="C14" s="192">
        <v>3620792.3500000006</v>
      </c>
      <c r="D14" s="183">
        <v>3691726.8800000008</v>
      </c>
      <c r="E14" s="183">
        <v>3745806.38</v>
      </c>
    </row>
    <row r="15" spans="2:5" x14ac:dyDescent="0.3">
      <c r="B15" s="175" t="s">
        <v>283</v>
      </c>
      <c r="C15" s="192">
        <v>112187.96000000002</v>
      </c>
      <c r="D15" s="183">
        <v>-23392.049999999996</v>
      </c>
      <c r="E15" s="183">
        <v>661323.19999999995</v>
      </c>
    </row>
    <row r="16" spans="2:5" x14ac:dyDescent="0.3">
      <c r="B16" s="175" t="s">
        <v>284</v>
      </c>
      <c r="C16" s="192">
        <v>0</v>
      </c>
      <c r="D16" s="183">
        <v>-1583476.2300061372</v>
      </c>
      <c r="E16" s="183">
        <v>-739876.03311407438</v>
      </c>
    </row>
    <row r="17" spans="2:5" x14ac:dyDescent="0.3">
      <c r="B17" s="175" t="s">
        <v>285</v>
      </c>
      <c r="C17" s="192">
        <v>-900054.2</v>
      </c>
      <c r="D17" s="183">
        <v>-936422.94</v>
      </c>
      <c r="E17" s="183">
        <v>-936423.2</v>
      </c>
    </row>
    <row r="18" spans="2:5" x14ac:dyDescent="0.3">
      <c r="B18" s="176" t="s">
        <v>316</v>
      </c>
      <c r="C18" s="192">
        <v>0</v>
      </c>
      <c r="D18" s="184"/>
      <c r="E18" s="184"/>
    </row>
    <row r="19" spans="2:5" x14ac:dyDescent="0.3">
      <c r="B19" s="175" t="s">
        <v>286</v>
      </c>
      <c r="C19" s="192">
        <v>-2368441.123280114</v>
      </c>
      <c r="D19" s="183">
        <v>-8033847.4701178391</v>
      </c>
      <c r="E19" s="183">
        <v>-12015343.063955696</v>
      </c>
    </row>
    <row r="20" spans="2:5" x14ac:dyDescent="0.3">
      <c r="B20" s="175" t="s">
        <v>287</v>
      </c>
      <c r="C20" s="192">
        <v>3825526.0863054022</v>
      </c>
      <c r="D20" s="183">
        <v>-13309031.632644266</v>
      </c>
      <c r="E20" s="183">
        <v>-12221587.551132195</v>
      </c>
    </row>
    <row r="21" spans="2:5" x14ac:dyDescent="0.3">
      <c r="B21" s="175" t="s">
        <v>288</v>
      </c>
      <c r="C21" s="192">
        <v>2367687.8699999987</v>
      </c>
      <c r="D21" s="183">
        <v>2738780.3599999994</v>
      </c>
      <c r="E21" s="183">
        <v>101770.28791506845</v>
      </c>
    </row>
    <row r="22" spans="2:5" x14ac:dyDescent="0.3">
      <c r="B22" s="175" t="s">
        <v>289</v>
      </c>
      <c r="C22" s="192">
        <v>-21444880.379999988</v>
      </c>
      <c r="D22" s="183">
        <v>7444492.44000002</v>
      </c>
      <c r="E22" s="183">
        <v>17222632.849999994</v>
      </c>
    </row>
    <row r="23" spans="2:5" x14ac:dyDescent="0.3">
      <c r="B23" s="175" t="s">
        <v>290</v>
      </c>
      <c r="C23" s="192">
        <v>16200209.920000002</v>
      </c>
      <c r="D23" s="183">
        <v>1131717.1599999988</v>
      </c>
      <c r="E23" s="183">
        <v>254338.36999999988</v>
      </c>
    </row>
    <row r="24" spans="2:5" x14ac:dyDescent="0.3">
      <c r="B24" s="176" t="s">
        <v>309</v>
      </c>
      <c r="C24" s="193">
        <f>SUM(C6:C23)</f>
        <v>-1347231.7281451747</v>
      </c>
      <c r="D24" s="187">
        <f>SUM(D6:D23)</f>
        <v>-8867971.7832634617</v>
      </c>
      <c r="E24" s="187">
        <f t="shared" ref="E24" si="0">SUM(E6:E23)</f>
        <v>-3397305.5924288081</v>
      </c>
    </row>
    <row r="25" spans="2:5" x14ac:dyDescent="0.3">
      <c r="B25" s="175" t="s">
        <v>291</v>
      </c>
      <c r="C25" s="192">
        <v>-778940.62</v>
      </c>
      <c r="D25" s="183">
        <v>-485246.55999999994</v>
      </c>
      <c r="E25" s="183">
        <v>-420036.11</v>
      </c>
    </row>
    <row r="26" spans="2:5" x14ac:dyDescent="0.3">
      <c r="B26" s="175" t="s">
        <v>292</v>
      </c>
      <c r="C26" s="192">
        <v>-190164.39</v>
      </c>
      <c r="D26" s="183">
        <v>6551</v>
      </c>
      <c r="E26" s="183">
        <v>-126314.5</v>
      </c>
    </row>
    <row r="27" spans="2:5" x14ac:dyDescent="0.3">
      <c r="B27" s="175" t="s">
        <v>293</v>
      </c>
      <c r="C27" s="192">
        <v>-168008.68938685715</v>
      </c>
      <c r="D27" s="183">
        <v>-81325.958076190494</v>
      </c>
      <c r="E27" s="183">
        <v>-46642.438334285711</v>
      </c>
    </row>
    <row r="28" spans="2:5" ht="15" thickBot="1" x14ac:dyDescent="0.35">
      <c r="B28" s="177" t="s">
        <v>294</v>
      </c>
      <c r="C28" s="194">
        <f>SUM(C24:C27)+C4</f>
        <v>353069.8597285524</v>
      </c>
      <c r="D28" s="184">
        <f>SUM(D24:D27)+D4</f>
        <v>-4956291.520794264</v>
      </c>
      <c r="E28" s="184">
        <f t="shared" ref="E28" si="1">SUM(E24:E27)+E4</f>
        <v>-3388128.396900977</v>
      </c>
    </row>
    <row r="29" spans="2:5" x14ac:dyDescent="0.3">
      <c r="B29" s="174" t="s">
        <v>295</v>
      </c>
      <c r="C29" s="195"/>
      <c r="D29" s="185"/>
      <c r="E29" s="185"/>
    </row>
    <row r="30" spans="2:5" x14ac:dyDescent="0.3">
      <c r="B30" s="175" t="s">
        <v>296</v>
      </c>
      <c r="C30" s="192">
        <v>-1476323.2979521216</v>
      </c>
      <c r="D30" s="183">
        <v>-122341.06553266896</v>
      </c>
      <c r="E30" s="183">
        <v>-408396.73689141718</v>
      </c>
    </row>
    <row r="31" spans="2:5" x14ac:dyDescent="0.3">
      <c r="B31" s="175" t="s">
        <v>297</v>
      </c>
      <c r="C31" s="192">
        <v>0</v>
      </c>
      <c r="D31" s="183">
        <v>0.43000000016763806</v>
      </c>
      <c r="E31" s="183">
        <v>-0.16000000000349246</v>
      </c>
    </row>
    <row r="32" spans="2:5" x14ac:dyDescent="0.3">
      <c r="B32" s="175" t="s">
        <v>298</v>
      </c>
      <c r="C32" s="192">
        <v>-96792.790909090967</v>
      </c>
      <c r="D32" s="183">
        <v>-40668.98909090925</v>
      </c>
      <c r="E32" s="183">
        <v>-39228.731818182052</v>
      </c>
    </row>
    <row r="33" spans="2:5" x14ac:dyDescent="0.3">
      <c r="B33" s="175" t="s">
        <v>299</v>
      </c>
      <c r="C33" s="192">
        <v>-5000</v>
      </c>
      <c r="D33" s="183">
        <v>9000</v>
      </c>
      <c r="E33" s="183">
        <v>0</v>
      </c>
    </row>
    <row r="34" spans="2:5" x14ac:dyDescent="0.3">
      <c r="B34" s="175" t="s">
        <v>334</v>
      </c>
      <c r="C34" s="192">
        <v>7752606</v>
      </c>
      <c r="D34" s="183">
        <v>0</v>
      </c>
      <c r="E34" s="183">
        <v>0</v>
      </c>
    </row>
    <row r="35" spans="2:5" x14ac:dyDescent="0.3">
      <c r="B35" s="175" t="s">
        <v>333</v>
      </c>
      <c r="C35" s="192">
        <v>101000.99999999953</v>
      </c>
      <c r="D35" s="183">
        <v>0</v>
      </c>
      <c r="E35" s="183">
        <v>0</v>
      </c>
    </row>
    <row r="36" spans="2:5" x14ac:dyDescent="0.3">
      <c r="B36" s="175" t="s">
        <v>300</v>
      </c>
      <c r="C36" s="192">
        <v>247396.35865257145</v>
      </c>
      <c r="D36" s="183">
        <v>29463.439999999999</v>
      </c>
      <c r="E36" s="183">
        <v>41009.19</v>
      </c>
    </row>
    <row r="37" spans="2:5" ht="15" thickBot="1" x14ac:dyDescent="0.35">
      <c r="B37" s="177" t="s">
        <v>301</v>
      </c>
      <c r="C37" s="194">
        <f>SUM(C29:C36)</f>
        <v>6522887.2697913591</v>
      </c>
      <c r="D37" s="184">
        <f>SUM(D29:D36)</f>
        <v>-124546.18462357804</v>
      </c>
      <c r="E37" s="184">
        <f t="shared" ref="E37" si="2">SUM(E29:E36)</f>
        <v>-406616.43870959926</v>
      </c>
    </row>
    <row r="38" spans="2:5" x14ac:dyDescent="0.3">
      <c r="B38" s="174" t="s">
        <v>302</v>
      </c>
      <c r="C38" s="195"/>
      <c r="D38" s="185"/>
      <c r="E38" s="185"/>
    </row>
    <row r="39" spans="2:5" x14ac:dyDescent="0.3">
      <c r="B39" s="175" t="s">
        <v>303</v>
      </c>
      <c r="C39" s="192">
        <v>30026.109999999404</v>
      </c>
      <c r="D39" s="183">
        <v>4890609.130000026</v>
      </c>
      <c r="E39" s="183">
        <v>2107103.2499999902</v>
      </c>
    </row>
    <row r="40" spans="2:5" x14ac:dyDescent="0.3">
      <c r="B40" s="175" t="s">
        <v>304</v>
      </c>
      <c r="C40" s="192">
        <v>-22603917.876719866</v>
      </c>
      <c r="D40" s="183">
        <v>-4488396.0298821786</v>
      </c>
      <c r="E40" s="183">
        <v>-4265181.8660443053</v>
      </c>
    </row>
    <row r="41" spans="2:5" x14ac:dyDescent="0.3">
      <c r="B41" s="175" t="s">
        <v>305</v>
      </c>
      <c r="C41" s="192">
        <v>0</v>
      </c>
      <c r="D41" s="183">
        <v>0</v>
      </c>
      <c r="E41" s="183">
        <v>-3847.4300000000003</v>
      </c>
    </row>
    <row r="42" spans="2:5" x14ac:dyDescent="0.3">
      <c r="B42" s="175" t="s">
        <v>335</v>
      </c>
      <c r="C42" s="192">
        <v>-15745347.310000001</v>
      </c>
      <c r="D42" s="183"/>
      <c r="E42" s="183"/>
    </row>
    <row r="43" spans="2:5" ht="15" thickBot="1" x14ac:dyDescent="0.35">
      <c r="B43" s="177" t="s">
        <v>306</v>
      </c>
      <c r="C43" s="196">
        <f>SUM(C39:C42)</f>
        <v>-38319239.076719865</v>
      </c>
      <c r="D43" s="178">
        <f>SUM(D39:D42)</f>
        <v>402213.10011784732</v>
      </c>
      <c r="E43" s="178">
        <f>SUM(E39:E42)</f>
        <v>-2161926.0460443152</v>
      </c>
    </row>
    <row r="44" spans="2:5" ht="29.4" thickBot="1" x14ac:dyDescent="0.35">
      <c r="B44" s="177" t="s">
        <v>315</v>
      </c>
      <c r="C44" s="196">
        <f>C43+C37+C28</f>
        <v>-31443281.947199956</v>
      </c>
      <c r="D44" s="178">
        <f t="shared" ref="D44:E44" si="3">D43+D37+D28</f>
        <v>-4678624.6052999943</v>
      </c>
      <c r="E44" s="178">
        <f t="shared" si="3"/>
        <v>-5956670.8816548921</v>
      </c>
    </row>
    <row r="45" spans="2:5" x14ac:dyDescent="0.3">
      <c r="B45" s="179" t="s">
        <v>313</v>
      </c>
      <c r="C45" s="196">
        <v>0</v>
      </c>
      <c r="D45" s="178">
        <v>0</v>
      </c>
      <c r="E45" s="178">
        <v>0</v>
      </c>
    </row>
    <row r="46" spans="2:5" ht="15" thickBot="1" x14ac:dyDescent="0.35">
      <c r="B46" s="177" t="s">
        <v>314</v>
      </c>
      <c r="C46" s="194">
        <f>C44+C45</f>
        <v>-31443281.947199956</v>
      </c>
      <c r="D46" s="184">
        <f t="shared" ref="D46:E46" si="4">D44+D45</f>
        <v>-4678624.6052999943</v>
      </c>
      <c r="E46" s="184">
        <f t="shared" si="4"/>
        <v>-5956670.8816548921</v>
      </c>
    </row>
    <row r="47" spans="2:5" x14ac:dyDescent="0.3">
      <c r="B47" s="174" t="s">
        <v>307</v>
      </c>
      <c r="C47" s="197">
        <v>73869061.106518999</v>
      </c>
      <c r="D47" s="186">
        <v>17596892.999122001</v>
      </c>
      <c r="E47" s="186">
        <v>20704631.823772997</v>
      </c>
    </row>
    <row r="48" spans="2:5" x14ac:dyDescent="0.3">
      <c r="B48" s="174" t="s">
        <v>308</v>
      </c>
      <c r="C48" s="197">
        <f>C46+C47</f>
        <v>42425779.159319043</v>
      </c>
      <c r="D48" s="186">
        <f t="shared" ref="D48:E48" si="5">D46+D47</f>
        <v>12918268.393822007</v>
      </c>
      <c r="E48" s="186">
        <f t="shared" si="5"/>
        <v>14747960.942118105</v>
      </c>
    </row>
    <row r="49" spans="2:5" x14ac:dyDescent="0.3">
      <c r="B49" s="22"/>
      <c r="C49" s="195"/>
      <c r="D49" s="185"/>
      <c r="E49" s="185"/>
    </row>
    <row r="52" spans="2:5" x14ac:dyDescent="0.3">
      <c r="C52" s="188">
        <f>C48-'1.FinancialPosition'!E16</f>
        <v>0.42267904430627823</v>
      </c>
      <c r="D52" s="188">
        <f>D48-'1.FinancialPosition'!D16</f>
        <v>-6.219499371945858E-2</v>
      </c>
      <c r="E52" s="188">
        <f>E48-'1.FinancialPosition'!C16</f>
        <v>2.8536103665828705E-2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H8" sqref="H8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4" width="11.77734375" style="1" bestFit="1" customWidth="1"/>
    <col min="5" max="5" width="12.109375" style="1" bestFit="1" customWidth="1"/>
    <col min="6" max="6" width="9.109375" style="1"/>
    <col min="7" max="8" width="10.88671875" style="1" bestFit="1" customWidth="1"/>
    <col min="9" max="10" width="14.77734375" style="1" bestFit="1" customWidth="1"/>
    <col min="11" max="11" width="15.21875" style="1" bestFit="1" customWidth="1"/>
    <col min="12" max="16384" width="9.109375" style="1"/>
  </cols>
  <sheetData>
    <row r="1" spans="1:11" x14ac:dyDescent="0.3">
      <c r="B1" s="166" t="s">
        <v>272</v>
      </c>
    </row>
    <row r="2" spans="1:11" ht="15" thickBot="1" x14ac:dyDescent="0.35"/>
    <row r="3" spans="1:11" ht="18.75" customHeight="1" thickBot="1" x14ac:dyDescent="0.35">
      <c r="A3" s="198" t="s">
        <v>0</v>
      </c>
      <c r="B3" s="198" t="s">
        <v>65</v>
      </c>
      <c r="C3" s="199">
        <f>Data_Interim!N3</f>
        <v>2021</v>
      </c>
      <c r="D3" s="199">
        <f>Data_Interim!O3</f>
        <v>2022</v>
      </c>
      <c r="E3" s="199">
        <f>Data_Interim!P3</f>
        <v>2023</v>
      </c>
    </row>
    <row r="4" spans="1:11" x14ac:dyDescent="0.3">
      <c r="A4" s="54" t="s">
        <v>66</v>
      </c>
      <c r="B4" s="200" t="s">
        <v>85</v>
      </c>
      <c r="C4" s="13">
        <f>'EBIT-EBITDA'!C7</f>
        <v>1153466.3538620721</v>
      </c>
      <c r="D4" s="13">
        <f>'EBIT-EBITDA'!D7</f>
        <v>5334178.3405453879</v>
      </c>
      <c r="E4" s="201">
        <f>'EBIT-EBITDA'!E7</f>
        <v>4159694.9072605846</v>
      </c>
      <c r="I4" s="84"/>
      <c r="J4" s="84"/>
      <c r="K4" s="84"/>
    </row>
    <row r="5" spans="1:11" x14ac:dyDescent="0.3">
      <c r="A5" s="54" t="s">
        <v>64</v>
      </c>
      <c r="B5" s="200" t="s">
        <v>85</v>
      </c>
      <c r="C5" s="13">
        <f>'EBIT-EBITDA'!C10</f>
        <v>3962849.533862072</v>
      </c>
      <c r="D5" s="13">
        <f>'EBIT-EBITDA'!D10</f>
        <v>8089482.2805453893</v>
      </c>
      <c r="E5" s="201">
        <f>'EBIT-EBITDA'!E10</f>
        <v>6880433.057260585</v>
      </c>
      <c r="I5" s="84"/>
      <c r="J5" s="84"/>
      <c r="K5" s="84"/>
    </row>
    <row r="6" spans="1:11" x14ac:dyDescent="0.3">
      <c r="A6" s="54" t="s">
        <v>72</v>
      </c>
      <c r="B6" s="13" t="s">
        <v>106</v>
      </c>
      <c r="C6" s="13">
        <f>'3.Profit or loss statement'!C52</f>
        <v>73978316.223151579</v>
      </c>
      <c r="D6" s="13">
        <f>'3.Profit or loss statement'!D52</f>
        <v>95502380.099409729</v>
      </c>
      <c r="E6" s="201">
        <f>'3.Profit or loss statement'!E52</f>
        <v>90004209.550000012</v>
      </c>
      <c r="I6" s="84"/>
      <c r="J6" s="84"/>
      <c r="K6" s="84"/>
    </row>
    <row r="7" spans="1:11" x14ac:dyDescent="0.3">
      <c r="A7" s="54" t="s">
        <v>73</v>
      </c>
      <c r="B7" s="13" t="s">
        <v>86</v>
      </c>
      <c r="C7" s="33">
        <f t="shared" ref="C7" si="0">C5/C6</f>
        <v>5.3567717355290319E-2</v>
      </c>
      <c r="D7" s="33">
        <f t="shared" ref="D7:E7" si="1">D5/D6</f>
        <v>8.4704509689967275E-2</v>
      </c>
      <c r="E7" s="202">
        <f t="shared" si="1"/>
        <v>7.6445680614952799E-2</v>
      </c>
      <c r="I7" s="86"/>
      <c r="J7" s="86"/>
      <c r="K7" s="86"/>
    </row>
    <row r="8" spans="1:11" x14ac:dyDescent="0.3">
      <c r="A8" s="54" t="s">
        <v>74</v>
      </c>
      <c r="B8" s="54" t="s">
        <v>87</v>
      </c>
      <c r="C8" s="33">
        <f>C5/'1.FinancialPosition'!C26</f>
        <v>2.823509776880764E-2</v>
      </c>
      <c r="D8" s="33">
        <f>D5/'1.FinancialPosition'!D26</f>
        <v>5.6397079979900927E-2</v>
      </c>
      <c r="E8" s="202">
        <f>E5/'1.FinancialPosition'!E26</f>
        <v>3.9845973231581136E-2</v>
      </c>
      <c r="I8" s="86"/>
      <c r="J8" s="86"/>
      <c r="K8" s="86"/>
    </row>
    <row r="9" spans="1:11" x14ac:dyDescent="0.3">
      <c r="A9" s="54" t="s">
        <v>75</v>
      </c>
      <c r="B9" s="54" t="s">
        <v>88</v>
      </c>
      <c r="C9" s="33">
        <f>'3.Profit or loss statement'!C16/C6</f>
        <v>9.9141381056810831E-3</v>
      </c>
      <c r="D9" s="33">
        <f>'3.Profit or loss statement'!D16/D6</f>
        <v>5.0772910324308848E-2</v>
      </c>
      <c r="E9" s="202">
        <f>'3.Profit or loss statement'!E16/E6</f>
        <v>3.7562168527045123E-2</v>
      </c>
      <c r="I9" s="86"/>
      <c r="J9" s="86"/>
      <c r="K9" s="86"/>
    </row>
    <row r="10" spans="1:11" x14ac:dyDescent="0.3">
      <c r="A10" s="54" t="s">
        <v>76</v>
      </c>
      <c r="B10" s="54" t="s">
        <v>89</v>
      </c>
      <c r="C10" s="34">
        <f>'1.FinancialPosition'!C18/'1.FinancialPosition'!C35</f>
        <v>1.039107787010086</v>
      </c>
      <c r="D10" s="34">
        <f>'1.FinancialPosition'!D18/'1.FinancialPosition'!D35</f>
        <v>1.0472305906182218</v>
      </c>
      <c r="E10" s="203">
        <f>'1.FinancialPosition'!E18/'1.FinancialPosition'!E35</f>
        <v>1.6243165361086007</v>
      </c>
      <c r="I10" s="84"/>
      <c r="J10" s="84"/>
      <c r="K10" s="84"/>
    </row>
    <row r="11" spans="1:11" x14ac:dyDescent="0.3">
      <c r="A11" s="54" t="s">
        <v>77</v>
      </c>
      <c r="B11" s="54" t="s">
        <v>90</v>
      </c>
      <c r="C11" s="34">
        <f>('1.FinancialPosition'!C18-'1.FinancialPosition'!C12)/'1.FinancialPosition'!C35</f>
        <v>0.57735141562700343</v>
      </c>
      <c r="D11" s="34">
        <f>('1.FinancialPosition'!D18-'1.FinancialPosition'!D12)/'1.FinancialPosition'!D35</f>
        <v>0.56652931718741917</v>
      </c>
      <c r="E11" s="203">
        <f>('1.FinancialPosition'!E18-'1.FinancialPosition'!E12)/'1.FinancialPosition'!E35</f>
        <v>1.032883560900699</v>
      </c>
      <c r="I11" s="84"/>
      <c r="J11" s="84"/>
      <c r="K11" s="84"/>
    </row>
    <row r="12" spans="1:11" x14ac:dyDescent="0.3">
      <c r="A12" s="54" t="s">
        <v>83</v>
      </c>
      <c r="B12" s="54" t="s">
        <v>91</v>
      </c>
      <c r="C12" s="35">
        <f>'1.FinancialPosition'!C31/'1.FinancialPosition'!C26</f>
        <v>0.30915717996798797</v>
      </c>
      <c r="D12" s="35">
        <f>'1.FinancialPosition'!D31/'1.FinancialPosition'!D26</f>
        <v>0.20639770384056938</v>
      </c>
      <c r="E12" s="204">
        <f>'1.FinancialPosition'!E31/'1.FinancialPosition'!E26</f>
        <v>0.14720850550958847</v>
      </c>
      <c r="I12" s="85"/>
      <c r="J12" s="85"/>
      <c r="K12" s="85"/>
    </row>
    <row r="13" spans="1:11" x14ac:dyDescent="0.3">
      <c r="A13" s="54" t="s">
        <v>84</v>
      </c>
      <c r="B13" s="54" t="s">
        <v>92</v>
      </c>
      <c r="C13" s="35">
        <f>'1.FinancialPosition'!C36/'1.FinancialPosition'!C37</f>
        <v>0.52463428537911072</v>
      </c>
      <c r="D13" s="35">
        <f>'1.FinancialPosition'!D36/'1.FinancialPosition'!D37</f>
        <v>0.54426182298240133</v>
      </c>
      <c r="E13" s="204">
        <f>'1.FinancialPosition'!E36/'1.FinancialPosition'!E37</f>
        <v>0.43021296980949675</v>
      </c>
      <c r="I13" s="85"/>
      <c r="J13" s="85"/>
      <c r="K13" s="85"/>
    </row>
    <row r="14" spans="1:11" x14ac:dyDescent="0.3">
      <c r="A14" s="54" t="s">
        <v>118</v>
      </c>
      <c r="B14" s="54" t="s">
        <v>93</v>
      </c>
      <c r="C14" s="36">
        <f>'EBIT-EBITDA'!C7/'EBIT-EBITDA'!C6</f>
        <v>2.7461123612969183</v>
      </c>
      <c r="D14" s="36">
        <f>'EBIT-EBITDA'!D7/'EBIT-EBITDA'!D6</f>
        <v>10.992717476545096</v>
      </c>
      <c r="E14" s="205">
        <f>'EBIT-EBITDA'!E7/'EBIT-EBITDA'!E6</f>
        <v>5.3401951322818224</v>
      </c>
      <c r="I14" s="84"/>
      <c r="J14" s="84"/>
      <c r="K14" s="84"/>
    </row>
    <row r="15" spans="1:11" x14ac:dyDescent="0.3">
      <c r="A15" s="54" t="s">
        <v>78</v>
      </c>
      <c r="B15" s="54" t="s">
        <v>94</v>
      </c>
      <c r="C15" s="36">
        <f>(SUMIFS(Data_Annual_BS!$D:$D,Data_Annual_BS!$A:$A,C$3-1,Data_Annual_BS!$C:$C,"Trade and other current receivables")+'1.FinancialPosition'!C13)/2/C6*C20</f>
        <v>51.354561665551884</v>
      </c>
      <c r="D15" s="36">
        <f>(SUMIFS(Data_Annual_BS!$D:$D,Data_Annual_BS!$A:$A,D$3-1,Data_Annual_BS!$C:$C,"Trade and other current receivables")+'1.FinancialPosition'!D13)/2/D6*D20</f>
        <v>53.786231980277982</v>
      </c>
      <c r="E15" s="205">
        <f>(SUMIFS(Data_Annual_BS!$D:$D,Data_Annual_BS!$A:$A,E$3-1,Data_Annual_BS!$C:$C,"Trade and other current receivables")+'1.FinancialPosition'!E13)/2/E6*E20</f>
        <v>62.132483138926318</v>
      </c>
      <c r="I15" s="84"/>
      <c r="J15" s="84"/>
      <c r="K15" s="84"/>
    </row>
    <row r="16" spans="1:11" x14ac:dyDescent="0.3">
      <c r="A16" s="54" t="s">
        <v>79</v>
      </c>
      <c r="B16" s="54" t="s">
        <v>95</v>
      </c>
      <c r="C16" s="36">
        <f>(SUMIFS(Data_Annual_BS!$D:$D,Data_Annual_BS!$A:$A,C$3-1,Data_Annual_BS!$C:$C,"Trade and other payables")+'1.FinancialPosition'!C32)/2/C6*C20</f>
        <v>30.777845741321588</v>
      </c>
      <c r="D16" s="36">
        <f>(SUMIFS(Data_Annual_BS!$D:$D,Data_Annual_BS!$A:$A,D$3-1,Data_Annual_BS!$C:$C,"Trade and other payables")+'1.FinancialPosition'!D32)/2/D6*D20</f>
        <v>29.529233148256367</v>
      </c>
      <c r="E16" s="205">
        <f>(SUMIFS(Data_Annual_BS!$D:$D,Data_Annual_BS!$A:$A,E$3-1,Data_Annual_BS!$C:$C,"Trade and other payables")+'1.FinancialPosition'!E32)/2/E6*E20</f>
        <v>20.857336572418884</v>
      </c>
      <c r="I16" s="84"/>
      <c r="J16" s="84"/>
      <c r="K16" s="84"/>
    </row>
    <row r="17" spans="1:11" x14ac:dyDescent="0.3">
      <c r="A17" s="54" t="s">
        <v>80</v>
      </c>
      <c r="B17" s="54" t="s">
        <v>96</v>
      </c>
      <c r="C17" s="33">
        <f>'3.Profit or loss statement'!C18/'1.FinancialPosition'!C19</f>
        <v>2.0395241865792074E-3</v>
      </c>
      <c r="D17" s="33">
        <f>'3.Profit or loss statement'!D18/'1.FinancialPosition'!D19</f>
        <v>1.4207717986349918E-2</v>
      </c>
      <c r="E17" s="202">
        <f>'3.Profit or loss statement'!E18/'1.FinancialPosition'!E19</f>
        <v>9.3627651360198086E-3</v>
      </c>
      <c r="I17" s="87"/>
      <c r="J17" s="87"/>
      <c r="K17" s="87"/>
    </row>
    <row r="18" spans="1:11" x14ac:dyDescent="0.3">
      <c r="A18" s="54" t="s">
        <v>81</v>
      </c>
      <c r="B18" s="54" t="s">
        <v>97</v>
      </c>
      <c r="C18" s="33">
        <f>'3.Profit or loss statement'!C18/'1.FinancialPosition'!C26</f>
        <v>4.290431812671522E-3</v>
      </c>
      <c r="D18" s="33">
        <f>'3.Profit or loss statement'!D18/'1.FinancialPosition'!D26</f>
        <v>3.1175176236474929E-2</v>
      </c>
      <c r="E18" s="202">
        <f>'3.Profit or loss statement'!E18/'1.FinancialPosition'!E26</f>
        <v>1.6432043251079685E-2</v>
      </c>
      <c r="I18" s="87"/>
      <c r="J18" s="87"/>
      <c r="K18" s="87"/>
    </row>
    <row r="19" spans="1:11" x14ac:dyDescent="0.3">
      <c r="A19" s="54" t="s">
        <v>82</v>
      </c>
      <c r="B19" s="54" t="s">
        <v>98</v>
      </c>
      <c r="C19" s="33">
        <f>'3.Profit or loss statement'!C18/C6</f>
        <v>8.1398208908358798E-3</v>
      </c>
      <c r="D19" s="33">
        <f>'3.Profit or loss statement'!D18/D6</f>
        <v>4.6822956411041596E-2</v>
      </c>
      <c r="E19" s="202">
        <f>'3.Profit or loss statement'!E18/E6</f>
        <v>3.1525361996366581E-2</v>
      </c>
      <c r="I19" s="84"/>
      <c r="J19" s="84"/>
      <c r="K19" s="84"/>
    </row>
    <row r="20" spans="1:11" s="25" customFormat="1" x14ac:dyDescent="0.3">
      <c r="B20" s="25" t="s">
        <v>151</v>
      </c>
      <c r="C20" s="82">
        <v>90</v>
      </c>
      <c r="D20" s="82">
        <v>90</v>
      </c>
      <c r="E20" s="206">
        <v>90</v>
      </c>
      <c r="I20" s="88"/>
      <c r="J20" s="88"/>
      <c r="K20" s="88"/>
    </row>
    <row r="21" spans="1:11" x14ac:dyDescent="0.3">
      <c r="I21" s="86"/>
      <c r="J21" s="86"/>
      <c r="K21" s="86"/>
    </row>
    <row r="22" spans="1:11" x14ac:dyDescent="0.3">
      <c r="A22" s="25" t="s">
        <v>59</v>
      </c>
      <c r="I22" s="86"/>
      <c r="J22" s="86"/>
      <c r="K22" s="86"/>
    </row>
    <row r="23" spans="1:11" x14ac:dyDescent="0.3">
      <c r="G23" s="152"/>
      <c r="H23" s="152"/>
      <c r="I23" s="152"/>
      <c r="J23" s="152"/>
      <c r="K23" s="152"/>
    </row>
    <row r="24" spans="1:11" x14ac:dyDescent="0.3">
      <c r="G24" s="152"/>
      <c r="H24" s="152"/>
      <c r="I24" s="152"/>
      <c r="J24" s="152"/>
      <c r="K24" s="152"/>
    </row>
    <row r="25" spans="1:11" x14ac:dyDescent="0.3">
      <c r="G25" s="152"/>
      <c r="H25" s="152"/>
      <c r="I25" s="152"/>
      <c r="J25" s="152"/>
      <c r="K25" s="152"/>
    </row>
    <row r="26" spans="1:11" x14ac:dyDescent="0.3">
      <c r="G26" s="152"/>
      <c r="H26" s="152"/>
      <c r="I26" s="152"/>
      <c r="J26" s="152"/>
      <c r="K26" s="152"/>
    </row>
    <row r="27" spans="1:11" x14ac:dyDescent="0.3">
      <c r="G27" s="152"/>
      <c r="H27" s="152"/>
      <c r="I27" s="152"/>
      <c r="J27" s="152"/>
      <c r="K27" s="152"/>
    </row>
    <row r="28" spans="1:11" x14ac:dyDescent="0.3">
      <c r="G28" s="152"/>
      <c r="H28" s="152"/>
      <c r="I28" s="152"/>
      <c r="J28" s="152"/>
      <c r="K28" s="152"/>
    </row>
    <row r="29" spans="1:11" x14ac:dyDescent="0.3">
      <c r="G29" s="152"/>
      <c r="H29" s="152"/>
      <c r="I29" s="152"/>
      <c r="J29" s="152"/>
      <c r="K29" s="152"/>
    </row>
    <row r="30" spans="1:11" x14ac:dyDescent="0.3">
      <c r="G30" s="152"/>
      <c r="H30" s="152"/>
      <c r="I30" s="152"/>
      <c r="J30" s="152"/>
      <c r="K30" s="152"/>
    </row>
    <row r="31" spans="1:11" x14ac:dyDescent="0.3">
      <c r="G31" s="152"/>
      <c r="H31" s="152"/>
      <c r="I31" s="152"/>
      <c r="J31" s="152"/>
      <c r="K31" s="152"/>
    </row>
    <row r="32" spans="1:11" x14ac:dyDescent="0.3">
      <c r="G32" s="152"/>
      <c r="H32" s="152"/>
      <c r="I32" s="152"/>
      <c r="J32" s="152"/>
      <c r="K32" s="152"/>
    </row>
    <row r="33" spans="7:11" x14ac:dyDescent="0.3">
      <c r="G33" s="152"/>
      <c r="H33" s="152"/>
      <c r="I33" s="152"/>
      <c r="J33" s="152"/>
      <c r="K33" s="152"/>
    </row>
    <row r="34" spans="7:11" x14ac:dyDescent="0.3">
      <c r="G34" s="152"/>
      <c r="H34" s="152"/>
      <c r="I34" s="152"/>
      <c r="J34" s="152"/>
      <c r="K34" s="152"/>
    </row>
    <row r="35" spans="7:11" x14ac:dyDescent="0.3">
      <c r="G35" s="152"/>
      <c r="H35" s="152"/>
      <c r="I35" s="152"/>
      <c r="J35" s="152"/>
      <c r="K35" s="152"/>
    </row>
    <row r="36" spans="7:11" x14ac:dyDescent="0.3">
      <c r="G36" s="152"/>
      <c r="H36" s="152"/>
      <c r="I36" s="152"/>
      <c r="J36" s="152"/>
      <c r="K36" s="152"/>
    </row>
    <row r="37" spans="7:11" x14ac:dyDescent="0.3">
      <c r="G37" s="152"/>
      <c r="H37" s="152"/>
      <c r="I37" s="152"/>
      <c r="J37" s="152"/>
      <c r="K37" s="152"/>
    </row>
    <row r="38" spans="7:11" x14ac:dyDescent="0.3">
      <c r="G38" s="152"/>
      <c r="H38" s="152"/>
      <c r="I38" s="152"/>
      <c r="J38" s="152"/>
      <c r="K38" s="152"/>
    </row>
    <row r="39" spans="7:11" x14ac:dyDescent="0.3">
      <c r="G39" s="152"/>
      <c r="H39" s="152"/>
      <c r="I39" s="152"/>
      <c r="J39" s="152"/>
      <c r="K39" s="152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4" zoomScaleNormal="84" workbookViewId="0">
      <selection activeCell="X27" sqref="X27"/>
    </sheetView>
  </sheetViews>
  <sheetFormatPr defaultColWidth="9.109375" defaultRowHeight="14.4" x14ac:dyDescent="0.3"/>
  <cols>
    <col min="1" max="1" width="4.109375" style="123" customWidth="1"/>
    <col min="2" max="7" width="9.109375" style="123"/>
    <col min="8" max="8" width="15.6640625" style="123" customWidth="1"/>
    <col min="9" max="9" width="9.109375" style="123"/>
    <col min="10" max="10" width="1.109375" style="123" customWidth="1"/>
    <col min="11" max="17" width="9.109375" style="123"/>
    <col min="18" max="18" width="3.6640625" style="123" customWidth="1"/>
    <col min="19" max="16384" width="9.109375" style="123"/>
  </cols>
  <sheetData>
    <row r="1" spans="2:21" ht="8.25" customHeight="1" x14ac:dyDescent="0.3"/>
    <row r="2" spans="2:21" x14ac:dyDescent="0.3">
      <c r="B2" s="240" t="s">
        <v>155</v>
      </c>
      <c r="C2" s="240"/>
      <c r="D2" s="240"/>
      <c r="E2" s="240"/>
      <c r="F2" s="126"/>
      <c r="G2" s="241" t="s">
        <v>39</v>
      </c>
      <c r="H2" s="241"/>
      <c r="I2" s="241"/>
      <c r="J2" s="124"/>
      <c r="K2" s="240" t="s">
        <v>157</v>
      </c>
      <c r="L2" s="240"/>
      <c r="M2" s="240"/>
      <c r="N2" s="240"/>
      <c r="O2" s="241" t="s">
        <v>130</v>
      </c>
      <c r="P2" s="241"/>
      <c r="Q2" s="124"/>
      <c r="R2" s="124"/>
      <c r="S2" s="240" t="s">
        <v>154</v>
      </c>
      <c r="T2" s="240"/>
      <c r="U2" s="209">
        <v>2023</v>
      </c>
    </row>
    <row r="3" spans="2:21" x14ac:dyDescent="0.3">
      <c r="B3" s="240" t="s">
        <v>156</v>
      </c>
      <c r="C3" s="240"/>
      <c r="D3" s="240"/>
      <c r="E3" s="240"/>
      <c r="F3" s="126"/>
      <c r="G3" s="241" t="s">
        <v>16</v>
      </c>
      <c r="H3" s="241"/>
      <c r="I3" s="241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21" ht="5.25" customHeight="1" x14ac:dyDescent="0.3"/>
    <row r="19" spans="2:24" ht="10.8" customHeight="1" x14ac:dyDescent="0.3"/>
    <row r="20" spans="2:24" s="124" customFormat="1" x14ac:dyDescent="0.3">
      <c r="B20" s="240" t="s">
        <v>157</v>
      </c>
      <c r="C20" s="240"/>
      <c r="D20" s="240"/>
      <c r="E20" s="240"/>
      <c r="F20" s="126"/>
      <c r="G20" s="241" t="s">
        <v>109</v>
      </c>
      <c r="H20" s="241"/>
      <c r="I20" s="241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2:24" ht="16.5" customHeight="1" x14ac:dyDescent="0.3">
      <c r="B21" s="240" t="s">
        <v>154</v>
      </c>
      <c r="C21" s="240"/>
      <c r="D21" s="240"/>
      <c r="E21" s="240"/>
      <c r="F21" s="126"/>
      <c r="G21" s="241">
        <v>2023</v>
      </c>
      <c r="H21" s="241"/>
      <c r="I21" s="241"/>
    </row>
    <row r="22" spans="2:24" ht="4.8" customHeight="1" x14ac:dyDescent="0.3"/>
    <row r="39" spans="2:2" x14ac:dyDescent="0.3">
      <c r="B39" s="123" t="s">
        <v>59</v>
      </c>
    </row>
  </sheetData>
  <mergeCells count="11">
    <mergeCell ref="B21:E21"/>
    <mergeCell ref="G21:I21"/>
    <mergeCell ref="B20:E20"/>
    <mergeCell ref="G20:I20"/>
    <mergeCell ref="S2:T2"/>
    <mergeCell ref="B2:E2"/>
    <mergeCell ref="B3:E3"/>
    <mergeCell ref="K2:N2"/>
    <mergeCell ref="O2:P2"/>
    <mergeCell ref="G2:I2"/>
    <mergeCell ref="G3:I3"/>
  </mergeCells>
  <dataValidations count="4">
    <dataValidation type="list" allowBlank="1" showInputMessage="1" showErrorMessage="1" sqref="G2:G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G20" xr:uid="{EBC18753-CD2B-4717-AE19-6F1D8CEF1D72}">
      <formula1>List3</formula1>
    </dataValidation>
    <dataValidation type="list" allowBlank="1" showInputMessage="1" showErrorMessage="1" sqref="U2 G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21" sqref="H21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7" customFormat="1" ht="21.75" customHeight="1" thickBot="1" x14ac:dyDescent="0.35">
      <c r="A3" s="198" t="s">
        <v>0</v>
      </c>
      <c r="B3" s="198" t="s">
        <v>0</v>
      </c>
      <c r="C3" s="199">
        <f>Data_Interim!N3</f>
        <v>2021</v>
      </c>
      <c r="D3" s="199">
        <f>Data_Interim!O3</f>
        <v>2022</v>
      </c>
      <c r="E3" s="199">
        <f>Data_Interim!P3</f>
        <v>2023</v>
      </c>
    </row>
    <row r="4" spans="1:5" x14ac:dyDescent="0.3">
      <c r="A4" s="15" t="s">
        <v>67</v>
      </c>
      <c r="B4" s="15" t="s">
        <v>99</v>
      </c>
      <c r="C4" s="15">
        <f>'3.Profit or loss statement'!C21</f>
        <v>602169.24386207212</v>
      </c>
      <c r="D4" s="15">
        <f>'3.Profit or loss statement'!D21</f>
        <v>4471701.7805453883</v>
      </c>
      <c r="E4" s="207">
        <f>'3.Profit or loss statement'!E21</f>
        <v>2837416.2872605845</v>
      </c>
    </row>
    <row r="5" spans="1:5" x14ac:dyDescent="0.3">
      <c r="A5" s="15" t="s">
        <v>68</v>
      </c>
      <c r="B5" s="15" t="s">
        <v>100</v>
      </c>
      <c r="C5" s="15">
        <f>-'3.Profit or loss statement'!C17</f>
        <v>131261</v>
      </c>
      <c r="D5" s="15">
        <f>-'3.Profit or loss statement'!D17</f>
        <v>377230</v>
      </c>
      <c r="E5" s="207">
        <f>-'3.Profit or loss statement'!E17</f>
        <v>543338</v>
      </c>
    </row>
    <row r="6" spans="1:5" x14ac:dyDescent="0.3">
      <c r="A6" s="15" t="s">
        <v>69</v>
      </c>
      <c r="B6" s="15" t="s">
        <v>101</v>
      </c>
      <c r="C6" s="15">
        <f>SUMIF(Data_Interim!$C:$C,$B6,Data_Interim!N:N)</f>
        <v>420036.11</v>
      </c>
      <c r="D6" s="15">
        <f>SUMIF(Data_Interim!$C:$C,$B6,Data_Interim!O:O)</f>
        <v>485246.55999999994</v>
      </c>
      <c r="E6" s="207">
        <f>SUMIF(Data_Interim!$C:$C,$B6,Data_Interim!P:P)</f>
        <v>778940.62</v>
      </c>
    </row>
    <row r="7" spans="1:5" x14ac:dyDescent="0.3">
      <c r="A7" s="32" t="s">
        <v>66</v>
      </c>
      <c r="B7" s="32" t="s">
        <v>66</v>
      </c>
      <c r="C7" s="32">
        <f>C4+C5+C6</f>
        <v>1153466.3538620721</v>
      </c>
      <c r="D7" s="32">
        <f>D4+D5+D6</f>
        <v>5334178.3405453879</v>
      </c>
      <c r="E7" s="208">
        <f>E4+E5+E6</f>
        <v>4159694.9072605846</v>
      </c>
    </row>
    <row r="8" spans="1:5" x14ac:dyDescent="0.3">
      <c r="A8" s="15" t="s">
        <v>70</v>
      </c>
      <c r="B8" s="15" t="s">
        <v>102</v>
      </c>
      <c r="C8" s="15">
        <f>SUMIF(Data_Interim!$C:$C,$B8,Data_Interim!N:N)</f>
        <v>3745806.38</v>
      </c>
      <c r="D8" s="15">
        <f>SUMIF(Data_Interim!$C:$C,$B8,Data_Interim!O:O)</f>
        <v>3691726.8800000008</v>
      </c>
      <c r="E8" s="207">
        <f>SUMIF(Data_Interim!$C:$C,$B8,Data_Interim!P:P)</f>
        <v>3620792.3500000006</v>
      </c>
    </row>
    <row r="9" spans="1:5" x14ac:dyDescent="0.3">
      <c r="A9" s="15" t="s">
        <v>71</v>
      </c>
      <c r="B9" s="15" t="s">
        <v>103</v>
      </c>
      <c r="C9" s="15">
        <f>SUMIF(Data_Interim!$C:$C,$B9,Data_Interim!N:N)</f>
        <v>936423.2</v>
      </c>
      <c r="D9" s="15">
        <f>SUMIF(Data_Interim!$C:$C,$B9,Data_Interim!O:O)</f>
        <v>936422.94</v>
      </c>
      <c r="E9" s="207">
        <f>SUMIF(Data_Interim!$C:$C,$B9,Data_Interim!P:P)</f>
        <v>900054.2</v>
      </c>
    </row>
    <row r="10" spans="1:5" x14ac:dyDescent="0.3">
      <c r="A10" s="32" t="s">
        <v>64</v>
      </c>
      <c r="B10" s="32" t="s">
        <v>64</v>
      </c>
      <c r="C10" s="32">
        <f>C7+C8-C9</f>
        <v>3962849.533862072</v>
      </c>
      <c r="D10" s="32">
        <f>D7+D8-D9</f>
        <v>8089482.2805453893</v>
      </c>
      <c r="E10" s="208">
        <f>E7+E8-E9</f>
        <v>6880433.057260585</v>
      </c>
    </row>
    <row r="13" spans="1:5" x14ac:dyDescent="0.3">
      <c r="A13" s="1" t="s">
        <v>119</v>
      </c>
    </row>
    <row r="15" spans="1:5" x14ac:dyDescent="0.3">
      <c r="A15" s="1" t="s">
        <v>59</v>
      </c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Contents</vt:lpstr>
      <vt:lpstr>Snapshots</vt:lpstr>
      <vt:lpstr>1.FinancialPosition</vt:lpstr>
      <vt:lpstr>2.FinancialPosition-Comparison</vt:lpstr>
      <vt:lpstr>3.Profit or loss statement</vt:lpstr>
      <vt:lpstr>4.Statement of Cash-Flow</vt:lpstr>
      <vt:lpstr>5.Financial ratios</vt:lpstr>
      <vt:lpstr>Charts</vt:lpstr>
      <vt:lpstr>EBIT-EBITDA</vt:lpstr>
      <vt:lpstr>Data_Interim</vt:lpstr>
      <vt:lpstr>Data_Annual_BS</vt:lpstr>
      <vt:lpstr>hiddenPage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2023-05-15T07:20:12Z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2020-05-09T11:05:42.1839853Z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5034ac4a-a9c2-459f-9488-9c99d212010b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