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134" documentId="8_{1A9E83BF-A47D-4EC0-81D2-87B0425D9BB8}" xr6:coauthVersionLast="47" xr6:coauthVersionMax="47" xr10:uidLastSave="{6A618DA9-E202-437F-A27E-C1F98576C144}"/>
  <bookViews>
    <workbookView xWindow="-108" yWindow="-108" windowWidth="23256" windowHeight="12576" tabRatio="836" xr2:uid="{00000000-000D-0000-FFFF-FFFF00000000}"/>
  </bookViews>
  <sheets>
    <sheet name="Cuprins" sheetId="6" r:id="rId1"/>
    <sheet name="Snapshots" sheetId="8" r:id="rId2"/>
    <sheet name="1.Pozitia Financiara" sheetId="1" r:id="rId3"/>
    <sheet name="hiddenPage" sheetId="10" state="hidden" r:id="rId4"/>
    <sheet name="2.Pozitia Financiara-Comparatii" sheetId="15" r:id="rId5"/>
    <sheet name="3.Sit.Rezultatului Global" sheetId="2" r:id="rId6"/>
    <sheet name="4.Sit.Fluxurilor de numerar" sheetId="18" r:id="rId7"/>
    <sheet name="5.Indicatori Financiari" sheetId="3" r:id="rId8"/>
    <sheet name="Grafice" sheetId="9" r:id="rId9"/>
    <sheet name="EBIT-EBITDA" sheetId="5" r:id="rId10"/>
    <sheet name="Data_Interim" sheetId="11" state="hidden" r:id="rId11"/>
    <sheet name="Data_Annual_BS" sheetId="14" state="hidden" r:id="rId12"/>
  </sheets>
  <definedNames>
    <definedName name="_xlnm._FilterDatabase" localSheetId="11" hidden="1">Data_Annual_BS!$A$3:$D$173</definedName>
    <definedName name="_xlnm._FilterDatabase" localSheetId="10" hidden="1">Data_Interim!$A$3:$S$220</definedName>
    <definedName name="Area">INDEX(hiddenPage!XEW1048572:XEW1,MATCH(hiddenPage!B1048571,hiddenPage!XFD1048572:XFD1,0)):INDEX(hiddenPage!XEW1048572:XEW1,MATCH(hiddenPage!B1048572,hiddenPage!XFD1048572:XFD1,0))</definedName>
    <definedName name="Data">IF(hiddenPage!#REF!=4,Selection3,IF(hiddenPage!#REF!=5,Selection2,Selection1))</definedName>
    <definedName name="List1">hiddenPage!$K$3:$K$12</definedName>
    <definedName name="List2">hiddenPage!$M$3:$M$6</definedName>
    <definedName name="List3">hiddenPage!$W$3:$W$7</definedName>
    <definedName name="List5">hiddenPage!$J$3:$J$5</definedName>
    <definedName name="Selection1">hiddenPage!#REF!</definedName>
    <definedName name="Selection2">hiddenPage!#REF!</definedName>
    <definedName name="Selection3">hiddenPage!#REF!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8" l="1"/>
  <c r="C50" i="18" s="1"/>
  <c r="E47" i="18"/>
  <c r="E50" i="18" s="1"/>
  <c r="D47" i="18"/>
  <c r="D50" i="18" s="1"/>
  <c r="D44" i="18"/>
  <c r="E44" i="18"/>
  <c r="C44" i="18"/>
  <c r="D25" i="18"/>
  <c r="D30" i="18" s="1"/>
  <c r="E25" i="18"/>
  <c r="E30" i="18" s="1"/>
  <c r="C25" i="18"/>
  <c r="C30" i="18" s="1"/>
  <c r="E52" i="18" l="1"/>
  <c r="E56" i="18" s="1"/>
  <c r="E58" i="18" s="1"/>
  <c r="C52" i="18"/>
  <c r="C56" i="18" s="1"/>
  <c r="C58" i="18" s="1"/>
  <c r="D52" i="18"/>
  <c r="D56" i="18" s="1"/>
  <c r="D58" i="18" s="1"/>
  <c r="A13" i="10" l="1"/>
  <c r="H10" i="2"/>
  <c r="H8" i="6"/>
  <c r="E8" i="8"/>
  <c r="D8" i="8"/>
  <c r="C8" i="8"/>
  <c r="C11" i="8"/>
  <c r="E11" i="8"/>
  <c r="D11" i="8"/>
  <c r="K48" i="2" l="1"/>
  <c r="L48" i="2"/>
  <c r="J48" i="2"/>
  <c r="F48" i="2"/>
  <c r="D48" i="2"/>
  <c r="E48" i="2"/>
  <c r="C48" i="2"/>
  <c r="E52" i="2"/>
  <c r="D52" i="2"/>
  <c r="C52" i="2"/>
  <c r="E51" i="2"/>
  <c r="D51" i="2"/>
  <c r="C51" i="2"/>
  <c r="E50" i="2"/>
  <c r="D50" i="2"/>
  <c r="C50" i="2"/>
  <c r="E49" i="2"/>
  <c r="D49" i="2"/>
  <c r="C49" i="2"/>
  <c r="P23" i="15"/>
  <c r="I23" i="15"/>
  <c r="B23" i="15"/>
  <c r="C53" i="2" l="1"/>
  <c r="F49" i="2"/>
  <c r="G49" i="2"/>
  <c r="F50" i="2"/>
  <c r="H49" i="2"/>
  <c r="H50" i="2"/>
  <c r="G51" i="2"/>
  <c r="F52" i="2"/>
  <c r="D53" i="2"/>
  <c r="H51" i="2"/>
  <c r="G52" i="2"/>
  <c r="E53" i="2"/>
  <c r="G50" i="2"/>
  <c r="F51" i="2"/>
  <c r="H52" i="2"/>
  <c r="J49" i="2" l="1"/>
  <c r="J51" i="2"/>
  <c r="J50" i="2"/>
  <c r="J52" i="2"/>
  <c r="H53" i="2"/>
  <c r="G53" i="2"/>
  <c r="F53" i="2"/>
  <c r="H11" i="8" l="1"/>
  <c r="G11" i="8"/>
  <c r="F11" i="8"/>
  <c r="A34" i="10" l="1"/>
  <c r="B6" i="15" l="1"/>
  <c r="K1" i="10" l="1"/>
  <c r="I6" i="15" l="1"/>
  <c r="A32" i="10" l="1"/>
  <c r="C16" i="15" l="1"/>
  <c r="B1" i="3" l="1"/>
  <c r="D20" i="1" l="1"/>
  <c r="C20" i="1"/>
  <c r="B20" i="1"/>
  <c r="D19" i="1"/>
  <c r="C19" i="1"/>
  <c r="B19" i="1"/>
  <c r="D18" i="1"/>
  <c r="C18" i="1"/>
  <c r="B18" i="1"/>
  <c r="D7" i="1"/>
  <c r="C7" i="1"/>
  <c r="B7" i="1"/>
  <c r="D6" i="1"/>
  <c r="C6" i="1"/>
  <c r="B6" i="1"/>
  <c r="D5" i="1"/>
  <c r="C5" i="1"/>
  <c r="B5" i="1"/>
  <c r="Q22" i="15"/>
  <c r="P22" i="15"/>
  <c r="J22" i="15"/>
  <c r="I22" i="15"/>
  <c r="C22" i="15"/>
  <c r="B22" i="15"/>
  <c r="Q9" i="15"/>
  <c r="P9" i="15"/>
  <c r="J9" i="15"/>
  <c r="I9" i="15"/>
  <c r="C9" i="15"/>
  <c r="B9" i="15"/>
  <c r="Q8" i="15"/>
  <c r="P8" i="15"/>
  <c r="J8" i="15"/>
  <c r="I8" i="15"/>
  <c r="C8" i="15"/>
  <c r="B8" i="15"/>
  <c r="Q7" i="15"/>
  <c r="P7" i="15"/>
  <c r="J7" i="15"/>
  <c r="I7" i="15"/>
  <c r="C7" i="15"/>
  <c r="B7" i="15"/>
  <c r="S22" i="15" l="1"/>
  <c r="L22" i="15"/>
  <c r="F22" i="15"/>
  <c r="H18" i="1"/>
  <c r="H20" i="1"/>
  <c r="H19" i="1"/>
  <c r="F18" i="1"/>
  <c r="G18" i="1"/>
  <c r="F19" i="1"/>
  <c r="G19" i="1"/>
  <c r="F20" i="1"/>
  <c r="G20" i="1"/>
  <c r="H7" i="1"/>
  <c r="F5" i="1"/>
  <c r="G5" i="1"/>
  <c r="F6" i="1"/>
  <c r="H5" i="1"/>
  <c r="G6" i="1"/>
  <c r="F7" i="1"/>
  <c r="H6" i="1"/>
  <c r="G7" i="1"/>
  <c r="T22" i="15"/>
  <c r="K22" i="15"/>
  <c r="M22" i="15"/>
  <c r="D22" i="15"/>
  <c r="E22" i="15"/>
  <c r="R22" i="15"/>
  <c r="R9" i="15"/>
  <c r="E8" i="15"/>
  <c r="K9" i="15"/>
  <c r="T7" i="15"/>
  <c r="E9" i="15"/>
  <c r="M7" i="15"/>
  <c r="M9" i="15"/>
  <c r="L9" i="15"/>
  <c r="D7" i="15"/>
  <c r="M8" i="15"/>
  <c r="F8" i="15"/>
  <c r="D8" i="15"/>
  <c r="L7" i="15"/>
  <c r="T8" i="15"/>
  <c r="T9" i="15"/>
  <c r="E7" i="15"/>
  <c r="R8" i="15"/>
  <c r="S9" i="15"/>
  <c r="F7" i="15"/>
  <c r="R7" i="15"/>
  <c r="S8" i="15"/>
  <c r="F9" i="15"/>
  <c r="S7" i="15"/>
  <c r="K8" i="15"/>
  <c r="K7" i="15"/>
  <c r="L8" i="15"/>
  <c r="D9" i="15"/>
  <c r="E50" i="10" l="1"/>
  <c r="E49" i="10" s="1"/>
  <c r="D50" i="10"/>
  <c r="D49" i="10" s="1"/>
  <c r="A12" i="10" l="1"/>
  <c r="AC22" i="10" l="1"/>
  <c r="AC23" i="10"/>
  <c r="AC24" i="10"/>
  <c r="AC25" i="10"/>
  <c r="AC26" i="10"/>
  <c r="AC27" i="10"/>
  <c r="AC28" i="10"/>
  <c r="AC21" i="10"/>
  <c r="G9" i="10" l="1"/>
  <c r="A4" i="10" l="1"/>
  <c r="AC7" i="10" l="1"/>
  <c r="AC8" i="10"/>
  <c r="AC9" i="10"/>
  <c r="AC3" i="10" l="1"/>
  <c r="F8" i="8" l="1"/>
  <c r="G8" i="8"/>
  <c r="H8" i="8"/>
  <c r="D5" i="2"/>
  <c r="E5" i="2"/>
  <c r="E34" i="2" l="1"/>
  <c r="E35" i="2"/>
  <c r="C34" i="2"/>
  <c r="C35" i="2"/>
  <c r="D34" i="2"/>
  <c r="D35" i="2"/>
  <c r="Q6" i="15"/>
  <c r="C28" i="2"/>
  <c r="C6" i="2"/>
  <c r="C25" i="2"/>
  <c r="C10" i="2"/>
  <c r="C13" i="2"/>
  <c r="D7" i="2"/>
  <c r="E28" i="2"/>
  <c r="E27" i="2"/>
  <c r="E11" i="2"/>
  <c r="D24" i="2"/>
  <c r="C9" i="2"/>
  <c r="B4" i="1"/>
  <c r="D9" i="2"/>
  <c r="D11" i="2"/>
  <c r="D10" i="2"/>
  <c r="D6" i="2"/>
  <c r="E24" i="2"/>
  <c r="D6" i="5"/>
  <c r="E9" i="2"/>
  <c r="C7" i="2"/>
  <c r="D25" i="1"/>
  <c r="E13" i="2"/>
  <c r="E26" i="2"/>
  <c r="E6" i="5"/>
  <c r="C27" i="2"/>
  <c r="D27" i="2"/>
  <c r="C25" i="1"/>
  <c r="D13" i="2"/>
  <c r="D25" i="2"/>
  <c r="B25" i="1"/>
  <c r="E7" i="2"/>
  <c r="E6" i="2"/>
  <c r="D26" i="2"/>
  <c r="C14" i="2"/>
  <c r="C11" i="2"/>
  <c r="E14" i="2"/>
  <c r="C24" i="2"/>
  <c r="E25" i="2"/>
  <c r="C13" i="15"/>
  <c r="B11" i="1"/>
  <c r="Q20" i="15"/>
  <c r="C27" i="15"/>
  <c r="C29" i="1"/>
  <c r="J31" i="15"/>
  <c r="J14" i="15"/>
  <c r="C12" i="1"/>
  <c r="C25" i="15"/>
  <c r="B23" i="1"/>
  <c r="J6" i="15"/>
  <c r="C4" i="1"/>
  <c r="D16" i="2"/>
  <c r="C28" i="1"/>
  <c r="J30" i="15"/>
  <c r="C41" i="2"/>
  <c r="C4" i="2"/>
  <c r="C54" i="2" s="1"/>
  <c r="Q15" i="15"/>
  <c r="D13" i="1"/>
  <c r="Q29" i="15"/>
  <c r="D27" i="1"/>
  <c r="C42" i="2"/>
  <c r="E42" i="2"/>
  <c r="J19" i="15"/>
  <c r="C17" i="1"/>
  <c r="C21" i="1" s="1"/>
  <c r="C8" i="2"/>
  <c r="C6" i="15"/>
  <c r="B12" i="1"/>
  <c r="C14" i="15"/>
  <c r="Q21" i="15"/>
  <c r="C16" i="2"/>
  <c r="C5" i="5" s="1"/>
  <c r="J13" i="15"/>
  <c r="C11" i="1"/>
  <c r="B22" i="1"/>
  <c r="C24" i="15"/>
  <c r="J27" i="15"/>
  <c r="Q31" i="15"/>
  <c r="D29" i="1"/>
  <c r="Q13" i="15"/>
  <c r="D11" i="1"/>
  <c r="C20" i="15"/>
  <c r="Q24" i="15"/>
  <c r="D22" i="1"/>
  <c r="Q27" i="15"/>
  <c r="C5" i="2"/>
  <c r="Q14" i="15"/>
  <c r="D12" i="1"/>
  <c r="C21" i="15"/>
  <c r="J25" i="15"/>
  <c r="C23" i="1"/>
  <c r="E10" i="2"/>
  <c r="E16" i="2"/>
  <c r="E5" i="5" s="1"/>
  <c r="D4" i="1"/>
  <c r="D28" i="2"/>
  <c r="B14" i="1"/>
  <c r="D28" i="1"/>
  <c r="Q30" i="15"/>
  <c r="D41" i="2"/>
  <c r="D4" i="2"/>
  <c r="D54" i="2" s="1"/>
  <c r="C26" i="2"/>
  <c r="C11" i="15"/>
  <c r="B9" i="1"/>
  <c r="C15" i="15"/>
  <c r="B13" i="1"/>
  <c r="C26" i="15"/>
  <c r="B24" i="1"/>
  <c r="C29" i="15"/>
  <c r="B27" i="1"/>
  <c r="C12" i="15"/>
  <c r="B10" i="1"/>
  <c r="E8" i="2"/>
  <c r="J20" i="15"/>
  <c r="J24" i="15"/>
  <c r="C22" i="1"/>
  <c r="C31" i="15"/>
  <c r="B29" i="1"/>
  <c r="J21" i="15"/>
  <c r="Q25" i="15"/>
  <c r="D23" i="1"/>
  <c r="D14" i="2"/>
  <c r="C14" i="1"/>
  <c r="J16" i="15"/>
  <c r="E41" i="2"/>
  <c r="E4" i="2"/>
  <c r="E54" i="2" s="1"/>
  <c r="J11" i="15"/>
  <c r="C9" i="1"/>
  <c r="C24" i="1"/>
  <c r="J26" i="15"/>
  <c r="D10" i="1"/>
  <c r="Q12" i="15"/>
  <c r="Q19" i="15"/>
  <c r="Q23" i="15" s="1"/>
  <c r="D17" i="1"/>
  <c r="D21" i="1" s="1"/>
  <c r="D8" i="2"/>
  <c r="D14" i="1"/>
  <c r="Q16" i="15"/>
  <c r="B28" i="1"/>
  <c r="C30" i="15"/>
  <c r="Q11" i="15"/>
  <c r="D9" i="1"/>
  <c r="J15" i="15"/>
  <c r="C13" i="1"/>
  <c r="D24" i="1"/>
  <c r="Q26" i="15"/>
  <c r="J29" i="15"/>
  <c r="C27" i="1"/>
  <c r="D42" i="2"/>
  <c r="C10" i="1"/>
  <c r="J12" i="15"/>
  <c r="B17" i="1"/>
  <c r="B21" i="1" s="1"/>
  <c r="C19" i="15"/>
  <c r="C23" i="15" s="1"/>
  <c r="C9" i="5"/>
  <c r="E9" i="5"/>
  <c r="C8" i="5"/>
  <c r="C6" i="5"/>
  <c r="D9" i="5"/>
  <c r="D8" i="5"/>
  <c r="E8" i="5"/>
  <c r="D5" i="5" l="1"/>
  <c r="H16" i="2"/>
  <c r="J23" i="15"/>
  <c r="H11" i="1"/>
  <c r="H34" i="2"/>
  <c r="E36" i="2"/>
  <c r="E37" i="2" s="1"/>
  <c r="C36" i="2"/>
  <c r="C37" i="2" s="1"/>
  <c r="H35" i="2"/>
  <c r="D36" i="2"/>
  <c r="H17" i="1"/>
  <c r="F34" i="2"/>
  <c r="G34" i="2"/>
  <c r="F35" i="2"/>
  <c r="G35" i="2"/>
  <c r="E12" i="2"/>
  <c r="D12" i="2"/>
  <c r="C12" i="2"/>
  <c r="H4" i="1"/>
  <c r="H24" i="1"/>
  <c r="H12" i="1"/>
  <c r="H10" i="1"/>
  <c r="H29" i="1"/>
  <c r="H28" i="1"/>
  <c r="H14" i="1"/>
  <c r="H9" i="1"/>
  <c r="H27" i="1"/>
  <c r="H22" i="1"/>
  <c r="H25" i="1"/>
  <c r="H13" i="1"/>
  <c r="H23" i="1"/>
  <c r="J40" i="2"/>
  <c r="J23" i="2"/>
  <c r="C8" i="1"/>
  <c r="E51" i="10" s="1"/>
  <c r="C29" i="2"/>
  <c r="E29" i="2"/>
  <c r="E43" i="2"/>
  <c r="E6" i="3" s="1"/>
  <c r="F41" i="2"/>
  <c r="D29" i="2"/>
  <c r="Q10" i="15"/>
  <c r="C43" i="2"/>
  <c r="C6" i="3" s="1"/>
  <c r="C17" i="3" s="1"/>
  <c r="G41" i="2"/>
  <c r="H41" i="2"/>
  <c r="Q28" i="15"/>
  <c r="Q32" i="15"/>
  <c r="C10" i="15"/>
  <c r="C28" i="15"/>
  <c r="J32" i="15"/>
  <c r="J28" i="15"/>
  <c r="J10" i="15"/>
  <c r="C32" i="15"/>
  <c r="J17" i="15"/>
  <c r="C17" i="15"/>
  <c r="Q17" i="15"/>
  <c r="D43" i="2"/>
  <c r="D6" i="3" s="1"/>
  <c r="D17" i="3" s="1"/>
  <c r="H42" i="2"/>
  <c r="F42" i="2"/>
  <c r="G42" i="2"/>
  <c r="B8" i="1"/>
  <c r="H25" i="2"/>
  <c r="F28" i="2"/>
  <c r="F27" i="2"/>
  <c r="F26" i="2"/>
  <c r="F25" i="2"/>
  <c r="F16" i="2"/>
  <c r="F14" i="2"/>
  <c r="F13" i="2"/>
  <c r="F11" i="2"/>
  <c r="F10" i="2"/>
  <c r="F9" i="2"/>
  <c r="F8" i="2"/>
  <c r="F7" i="2"/>
  <c r="F6" i="2"/>
  <c r="F5" i="2"/>
  <c r="F4" i="2"/>
  <c r="L50" i="2" l="1"/>
  <c r="L51" i="2"/>
  <c r="L52" i="2"/>
  <c r="K52" i="2"/>
  <c r="K50" i="2"/>
  <c r="K51" i="2"/>
  <c r="C30" i="2"/>
  <c r="K49" i="2"/>
  <c r="L49" i="2"/>
  <c r="E15" i="2"/>
  <c r="E9" i="8"/>
  <c r="C15" i="2"/>
  <c r="C9" i="8"/>
  <c r="D15" i="2"/>
  <c r="D9" i="8"/>
  <c r="D51" i="10"/>
  <c r="D37" i="2"/>
  <c r="G36" i="2"/>
  <c r="H36" i="2"/>
  <c r="F36" i="2"/>
  <c r="F12" i="2"/>
  <c r="K40" i="2"/>
  <c r="K23" i="2"/>
  <c r="D30" i="2"/>
  <c r="L42" i="2"/>
  <c r="E30" i="2"/>
  <c r="K42" i="2"/>
  <c r="J42" i="2"/>
  <c r="J41" i="2"/>
  <c r="K41" i="2"/>
  <c r="L41" i="2"/>
  <c r="F43" i="2"/>
  <c r="C3" i="3"/>
  <c r="C16" i="3" s="1"/>
  <c r="Q33" i="15"/>
  <c r="H43" i="2"/>
  <c r="C33" i="15"/>
  <c r="J33" i="15"/>
  <c r="Q18" i="15"/>
  <c r="C18" i="15"/>
  <c r="G43" i="2"/>
  <c r="J18" i="15"/>
  <c r="C4" i="8"/>
  <c r="D3" i="10"/>
  <c r="C3" i="5"/>
  <c r="C33" i="2"/>
  <c r="F50" i="10"/>
  <c r="F49" i="10" s="1"/>
  <c r="J53" i="2" l="1"/>
  <c r="L53" i="2"/>
  <c r="K53" i="2"/>
  <c r="H9" i="8"/>
  <c r="F9" i="8"/>
  <c r="G9" i="8"/>
  <c r="C15" i="3"/>
  <c r="L23" i="2"/>
  <c r="F23" i="2"/>
  <c r="F3" i="2"/>
  <c r="F33" i="2" s="1"/>
  <c r="F40" i="2"/>
  <c r="L40" i="2"/>
  <c r="L43" i="2"/>
  <c r="B27" i="15"/>
  <c r="F27" i="15" s="1"/>
  <c r="B13" i="15"/>
  <c r="F13" i="15" s="1"/>
  <c r="B29" i="15"/>
  <c r="F29" i="15" s="1"/>
  <c r="B24" i="15"/>
  <c r="F24" i="15" s="1"/>
  <c r="B19" i="15"/>
  <c r="B14" i="15"/>
  <c r="F14" i="15" s="1"/>
  <c r="B30" i="15"/>
  <c r="F30" i="15" s="1"/>
  <c r="B25" i="15"/>
  <c r="F25" i="15" s="1"/>
  <c r="B20" i="15"/>
  <c r="F20" i="15" s="1"/>
  <c r="B15" i="15"/>
  <c r="F15" i="15" s="1"/>
  <c r="B11" i="15"/>
  <c r="F11" i="15" s="1"/>
  <c r="B31" i="15"/>
  <c r="F31" i="15" s="1"/>
  <c r="B26" i="15"/>
  <c r="F26" i="15" s="1"/>
  <c r="B21" i="15"/>
  <c r="F21" i="15" s="1"/>
  <c r="B16" i="15"/>
  <c r="F16" i="15" s="1"/>
  <c r="B12" i="15"/>
  <c r="F12" i="15" s="1"/>
  <c r="K43" i="2"/>
  <c r="J43" i="2"/>
  <c r="D3" i="3"/>
  <c r="D16" i="3" s="1"/>
  <c r="Q34" i="15"/>
  <c r="C34" i="15"/>
  <c r="J34" i="15"/>
  <c r="D4" i="8"/>
  <c r="D3" i="5"/>
  <c r="E3" i="10"/>
  <c r="D9" i="10"/>
  <c r="D15" i="10"/>
  <c r="D14" i="10" s="1"/>
  <c r="C23" i="2"/>
  <c r="C40" i="2"/>
  <c r="D33" i="2"/>
  <c r="C14" i="10"/>
  <c r="B14" i="10"/>
  <c r="F19" i="15" l="1"/>
  <c r="D15" i="3"/>
  <c r="D6" i="15"/>
  <c r="F6" i="15"/>
  <c r="J5" i="10"/>
  <c r="D43" i="10"/>
  <c r="E25" i="15"/>
  <c r="E21" i="15"/>
  <c r="E30" i="15"/>
  <c r="D26" i="15"/>
  <c r="E31" i="15"/>
  <c r="D14" i="15"/>
  <c r="E11" i="15"/>
  <c r="D15" i="15"/>
  <c r="D24" i="15"/>
  <c r="E12" i="15"/>
  <c r="E29" i="15"/>
  <c r="I29" i="15"/>
  <c r="M29" i="15" s="1"/>
  <c r="I24" i="15"/>
  <c r="M24" i="15" s="1"/>
  <c r="I19" i="15"/>
  <c r="I14" i="15"/>
  <c r="M14" i="15" s="1"/>
  <c r="I27" i="15"/>
  <c r="M27" i="15" s="1"/>
  <c r="I13" i="15"/>
  <c r="M13" i="15" s="1"/>
  <c r="I30" i="15"/>
  <c r="M30" i="15" s="1"/>
  <c r="I25" i="15"/>
  <c r="M25" i="15" s="1"/>
  <c r="I20" i="15"/>
  <c r="M20" i="15" s="1"/>
  <c r="I15" i="15"/>
  <c r="M15" i="15" s="1"/>
  <c r="I11" i="15"/>
  <c r="M11" i="15" s="1"/>
  <c r="I31" i="15"/>
  <c r="M31" i="15" s="1"/>
  <c r="I26" i="15"/>
  <c r="M26" i="15" s="1"/>
  <c r="I21" i="15"/>
  <c r="M21" i="15" s="1"/>
  <c r="I16" i="15"/>
  <c r="M16" i="15" s="1"/>
  <c r="I12" i="15"/>
  <c r="M12" i="15" s="1"/>
  <c r="D29" i="15"/>
  <c r="D12" i="15"/>
  <c r="E14" i="15"/>
  <c r="D16" i="15"/>
  <c r="E16" i="15"/>
  <c r="E15" i="15"/>
  <c r="D19" i="15"/>
  <c r="E26" i="15"/>
  <c r="E19" i="15"/>
  <c r="E24" i="15"/>
  <c r="D25" i="15"/>
  <c r="B28" i="15"/>
  <c r="F28" i="15" s="1"/>
  <c r="D31" i="15"/>
  <c r="D13" i="15"/>
  <c r="D11" i="15"/>
  <c r="E13" i="15"/>
  <c r="D21" i="15"/>
  <c r="E27" i="15"/>
  <c r="B17" i="15"/>
  <c r="F17" i="15" s="1"/>
  <c r="D20" i="15"/>
  <c r="E20" i="15"/>
  <c r="E6" i="15"/>
  <c r="D27" i="15"/>
  <c r="D30" i="15"/>
  <c r="B32" i="15"/>
  <c r="F32" i="15" s="1"/>
  <c r="B10" i="15"/>
  <c r="F10" i="15" s="1"/>
  <c r="E3" i="3"/>
  <c r="E16" i="3" s="1"/>
  <c r="Q36" i="15"/>
  <c r="J36" i="15"/>
  <c r="E4" i="8"/>
  <c r="E3" i="1"/>
  <c r="F3" i="1"/>
  <c r="C36" i="15"/>
  <c r="F3" i="10"/>
  <c r="F15" i="10" s="1"/>
  <c r="F14" i="10" s="1"/>
  <c r="E3" i="5"/>
  <c r="E15" i="10"/>
  <c r="E14" i="10" s="1"/>
  <c r="E9" i="10"/>
  <c r="D23" i="2"/>
  <c r="D40" i="2"/>
  <c r="M19" i="15" l="1"/>
  <c r="F23" i="15"/>
  <c r="E15" i="3"/>
  <c r="P6" i="15"/>
  <c r="T6" i="15" s="1"/>
  <c r="E40" i="2"/>
  <c r="E33" i="2"/>
  <c r="L6" i="15"/>
  <c r="M6" i="15"/>
  <c r="J4" i="10"/>
  <c r="E43" i="10"/>
  <c r="K20" i="15"/>
  <c r="K25" i="15"/>
  <c r="L14" i="15"/>
  <c r="D32" i="15"/>
  <c r="D28" i="15"/>
  <c r="L21" i="15"/>
  <c r="K30" i="15"/>
  <c r="K26" i="15"/>
  <c r="L24" i="15"/>
  <c r="L13" i="15"/>
  <c r="K29" i="15"/>
  <c r="L11" i="15"/>
  <c r="L27" i="15"/>
  <c r="E10" i="15"/>
  <c r="K15" i="15"/>
  <c r="L20" i="15"/>
  <c r="K21" i="15"/>
  <c r="P30" i="15"/>
  <c r="T30" i="15" s="1"/>
  <c r="P25" i="15"/>
  <c r="T25" i="15" s="1"/>
  <c r="P20" i="15"/>
  <c r="T20" i="15" s="1"/>
  <c r="P15" i="15"/>
  <c r="T15" i="15" s="1"/>
  <c r="P11" i="15"/>
  <c r="T11" i="15" s="1"/>
  <c r="P29" i="15"/>
  <c r="T29" i="15" s="1"/>
  <c r="P24" i="15"/>
  <c r="T24" i="15" s="1"/>
  <c r="P19" i="15"/>
  <c r="P14" i="15"/>
  <c r="T14" i="15" s="1"/>
  <c r="P31" i="15"/>
  <c r="T31" i="15" s="1"/>
  <c r="P26" i="15"/>
  <c r="T26" i="15" s="1"/>
  <c r="P21" i="15"/>
  <c r="T21" i="15" s="1"/>
  <c r="P16" i="15"/>
  <c r="T16" i="15" s="1"/>
  <c r="P12" i="15"/>
  <c r="T12" i="15" s="1"/>
  <c r="P27" i="15"/>
  <c r="T27" i="15" s="1"/>
  <c r="P13" i="15"/>
  <c r="T13" i="15" s="1"/>
  <c r="K14" i="15"/>
  <c r="E28" i="15"/>
  <c r="K11" i="15"/>
  <c r="L26" i="15"/>
  <c r="D17" i="15"/>
  <c r="K19" i="15"/>
  <c r="K24" i="15"/>
  <c r="K31" i="15"/>
  <c r="K16" i="15"/>
  <c r="L16" i="15"/>
  <c r="L29" i="15"/>
  <c r="L25" i="15"/>
  <c r="K6" i="15"/>
  <c r="B18" i="15"/>
  <c r="F18" i="15" s="1"/>
  <c r="L30" i="15"/>
  <c r="L31" i="15"/>
  <c r="E17" i="15"/>
  <c r="K13" i="15"/>
  <c r="L19" i="15"/>
  <c r="K27" i="15"/>
  <c r="I28" i="15"/>
  <c r="M28" i="15" s="1"/>
  <c r="L15" i="15"/>
  <c r="I17" i="15"/>
  <c r="M17" i="15" s="1"/>
  <c r="L12" i="15"/>
  <c r="I32" i="15"/>
  <c r="M32" i="15" s="1"/>
  <c r="D10" i="15"/>
  <c r="E32" i="15"/>
  <c r="I10" i="15"/>
  <c r="M10" i="15" s="1"/>
  <c r="B33" i="15"/>
  <c r="F33" i="15" s="1"/>
  <c r="K12" i="15"/>
  <c r="F9" i="10"/>
  <c r="J3" i="10" s="1"/>
  <c r="E23" i="2"/>
  <c r="E6" i="8"/>
  <c r="E5" i="8"/>
  <c r="L27" i="2"/>
  <c r="H28" i="2"/>
  <c r="G28" i="2"/>
  <c r="H27" i="2"/>
  <c r="G27" i="2"/>
  <c r="H26" i="2"/>
  <c r="G26" i="2"/>
  <c r="G25" i="2"/>
  <c r="G16" i="2"/>
  <c r="H14" i="2"/>
  <c r="G14" i="2"/>
  <c r="H13" i="2"/>
  <c r="G13" i="2"/>
  <c r="H12" i="2"/>
  <c r="G12" i="2"/>
  <c r="H11" i="2"/>
  <c r="G11" i="2"/>
  <c r="G10" i="2"/>
  <c r="H9" i="2"/>
  <c r="G9" i="2"/>
  <c r="H8" i="2"/>
  <c r="G8" i="2"/>
  <c r="H7" i="2"/>
  <c r="G7" i="2"/>
  <c r="H6" i="2"/>
  <c r="G6" i="2"/>
  <c r="H5" i="2"/>
  <c r="G5" i="2"/>
  <c r="H4" i="2"/>
  <c r="G4" i="2"/>
  <c r="D8" i="1"/>
  <c r="E17" i="3" s="1"/>
  <c r="D15" i="1"/>
  <c r="F32" i="10" s="1"/>
  <c r="D26" i="1"/>
  <c r="D30" i="1"/>
  <c r="G29" i="1"/>
  <c r="F29" i="1"/>
  <c r="G28" i="1"/>
  <c r="F28" i="1"/>
  <c r="G27" i="1"/>
  <c r="F27" i="1"/>
  <c r="G25" i="1"/>
  <c r="F25" i="1"/>
  <c r="G24" i="1"/>
  <c r="F24" i="1"/>
  <c r="G23" i="1"/>
  <c r="F23" i="1"/>
  <c r="G22" i="1"/>
  <c r="F22" i="1"/>
  <c r="G17" i="1"/>
  <c r="F17" i="1"/>
  <c r="G14" i="1"/>
  <c r="F14" i="1"/>
  <c r="G13" i="1"/>
  <c r="F13" i="1"/>
  <c r="G12" i="1"/>
  <c r="F12" i="1"/>
  <c r="G11" i="1"/>
  <c r="F11" i="1"/>
  <c r="G10" i="1"/>
  <c r="F10" i="1"/>
  <c r="G9" i="1"/>
  <c r="F9" i="1"/>
  <c r="G4" i="1"/>
  <c r="F4" i="1"/>
  <c r="F4" i="8"/>
  <c r="D23" i="15" l="1"/>
  <c r="E23" i="15"/>
  <c r="T19" i="15"/>
  <c r="E11" i="3"/>
  <c r="H8" i="1"/>
  <c r="F4" i="10"/>
  <c r="F51" i="10"/>
  <c r="F52" i="10"/>
  <c r="F53" i="10"/>
  <c r="F55" i="10"/>
  <c r="E18" i="8"/>
  <c r="F43" i="10"/>
  <c r="L17" i="15"/>
  <c r="K28" i="15"/>
  <c r="E18" i="15"/>
  <c r="L32" i="15"/>
  <c r="L10" i="15"/>
  <c r="B34" i="15"/>
  <c r="F34" i="15" s="1"/>
  <c r="E14" i="8"/>
  <c r="L28" i="15"/>
  <c r="D18" i="15"/>
  <c r="K17" i="15"/>
  <c r="I18" i="15"/>
  <c r="M18" i="15" s="1"/>
  <c r="E33" i="15"/>
  <c r="D33" i="15"/>
  <c r="I33" i="15"/>
  <c r="M33" i="15" s="1"/>
  <c r="K10" i="15"/>
  <c r="K32" i="15"/>
  <c r="S21" i="15"/>
  <c r="R21" i="15"/>
  <c r="P28" i="15"/>
  <c r="T28" i="15" s="1"/>
  <c r="S24" i="15"/>
  <c r="R24" i="15"/>
  <c r="S26" i="15"/>
  <c r="R26" i="15"/>
  <c r="P32" i="15"/>
  <c r="T32" i="15" s="1"/>
  <c r="S29" i="15"/>
  <c r="R29" i="15"/>
  <c r="S15" i="15"/>
  <c r="R15" i="15"/>
  <c r="R13" i="15"/>
  <c r="S13" i="15"/>
  <c r="R30" i="15"/>
  <c r="S30" i="15"/>
  <c r="R31" i="15"/>
  <c r="S31" i="15"/>
  <c r="S14" i="15"/>
  <c r="R14" i="15"/>
  <c r="S20" i="15"/>
  <c r="R20" i="15"/>
  <c r="P17" i="15"/>
  <c r="T17" i="15" s="1"/>
  <c r="S11" i="15"/>
  <c r="R11" i="15"/>
  <c r="S12" i="15"/>
  <c r="R12" i="15"/>
  <c r="S16" i="15"/>
  <c r="R16" i="15"/>
  <c r="R27" i="15"/>
  <c r="S27" i="15"/>
  <c r="S19" i="15"/>
  <c r="R19" i="15"/>
  <c r="P10" i="15"/>
  <c r="T10" i="15" s="1"/>
  <c r="R6" i="15"/>
  <c r="S6" i="15"/>
  <c r="S25" i="15"/>
  <c r="R25" i="15"/>
  <c r="F8" i="10"/>
  <c r="E9" i="3"/>
  <c r="E12" i="3"/>
  <c r="L25" i="2"/>
  <c r="L24" i="2"/>
  <c r="L26" i="2"/>
  <c r="L28" i="2"/>
  <c r="E17" i="2"/>
  <c r="E10" i="3"/>
  <c r="E13" i="8"/>
  <c r="E15" i="8"/>
  <c r="D31" i="1"/>
  <c r="D16" i="1"/>
  <c r="E18" i="2" l="1"/>
  <c r="E10" i="8"/>
  <c r="E12" i="8" s="1"/>
  <c r="E4" i="5"/>
  <c r="K23" i="15"/>
  <c r="L23" i="15"/>
  <c r="M23" i="15"/>
  <c r="E18" i="1"/>
  <c r="E19" i="1"/>
  <c r="E20" i="1"/>
  <c r="E7" i="1"/>
  <c r="E5" i="1"/>
  <c r="E6" i="1"/>
  <c r="E16" i="8"/>
  <c r="E17" i="8" s="1"/>
  <c r="E8" i="1"/>
  <c r="E34" i="15"/>
  <c r="B36" i="15"/>
  <c r="D34" i="15"/>
  <c r="L33" i="15"/>
  <c r="K18" i="15"/>
  <c r="L18" i="15"/>
  <c r="K33" i="15"/>
  <c r="L29" i="2"/>
  <c r="I34" i="15"/>
  <c r="M34" i="15" s="1"/>
  <c r="P33" i="15"/>
  <c r="T33" i="15" s="1"/>
  <c r="S32" i="15"/>
  <c r="R32" i="15"/>
  <c r="R28" i="15"/>
  <c r="S28" i="15"/>
  <c r="R10" i="15"/>
  <c r="S10" i="15"/>
  <c r="P18" i="15"/>
  <c r="T18" i="15" s="1"/>
  <c r="S17" i="15"/>
  <c r="R17" i="15"/>
  <c r="E7" i="5"/>
  <c r="E20" i="3"/>
  <c r="E19" i="3"/>
  <c r="E18" i="3"/>
  <c r="E28" i="1"/>
  <c r="E25" i="1"/>
  <c r="E21" i="1"/>
  <c r="E17" i="1"/>
  <c r="E14" i="1"/>
  <c r="E10" i="1"/>
  <c r="E27" i="1"/>
  <c r="E24" i="1"/>
  <c r="E16" i="1"/>
  <c r="E13" i="1"/>
  <c r="E9" i="1"/>
  <c r="E22" i="1"/>
  <c r="E11" i="1"/>
  <c r="E31" i="1"/>
  <c r="E26" i="1"/>
  <c r="E23" i="1"/>
  <c r="E15" i="1"/>
  <c r="E12" i="1"/>
  <c r="E4" i="1"/>
  <c r="E30" i="1"/>
  <c r="E29" i="1"/>
  <c r="D32" i="1"/>
  <c r="S23" i="15" l="1"/>
  <c r="R23" i="15"/>
  <c r="T23" i="15"/>
  <c r="E13" i="3"/>
  <c r="I36" i="15"/>
  <c r="L34" i="15"/>
  <c r="K34" i="15"/>
  <c r="S18" i="15"/>
  <c r="R18" i="15"/>
  <c r="P34" i="15"/>
  <c r="T34" i="15" s="1"/>
  <c r="R33" i="15"/>
  <c r="S33" i="15"/>
  <c r="E10" i="5"/>
  <c r="E14" i="3"/>
  <c r="E4" i="3"/>
  <c r="E32" i="1"/>
  <c r="D34" i="1"/>
  <c r="F54" i="10" s="1"/>
  <c r="P36" i="15" l="1"/>
  <c r="R34" i="15"/>
  <c r="S34" i="15"/>
  <c r="E7" i="8"/>
  <c r="E5" i="3"/>
  <c r="Z4" i="10"/>
  <c r="C8" i="10"/>
  <c r="D8" i="10"/>
  <c r="E8" i="10"/>
  <c r="B8" i="10"/>
  <c r="A8" i="10"/>
  <c r="R3" i="10" s="1"/>
  <c r="A5" i="10"/>
  <c r="Z5" i="10" l="1"/>
  <c r="AC4" i="10"/>
  <c r="F5" i="10"/>
  <c r="A1" i="10"/>
  <c r="E8" i="3"/>
  <c r="E7" i="3"/>
  <c r="R5" i="10"/>
  <c r="R9" i="10"/>
  <c r="R8" i="10"/>
  <c r="R6" i="10"/>
  <c r="R10" i="10"/>
  <c r="R7" i="10"/>
  <c r="R4" i="10"/>
  <c r="C6" i="8"/>
  <c r="D6" i="8"/>
  <c r="C5" i="8"/>
  <c r="K20" i="8" s="1"/>
  <c r="D5" i="8"/>
  <c r="Z6" i="10" l="1"/>
  <c r="AC5" i="10"/>
  <c r="S3" i="10"/>
  <c r="T3" i="10" s="1"/>
  <c r="A10" i="10" s="1"/>
  <c r="H6" i="8"/>
  <c r="F5" i="8"/>
  <c r="H5" i="8"/>
  <c r="G5" i="8"/>
  <c r="G6" i="8"/>
  <c r="F6" i="8"/>
  <c r="S4" i="10"/>
  <c r="T4" i="10" s="1"/>
  <c r="A11" i="10" s="1"/>
  <c r="A26" i="10" s="1"/>
  <c r="S8" i="10"/>
  <c r="T8" i="10" s="1"/>
  <c r="S10" i="10"/>
  <c r="T10" i="10" s="1"/>
  <c r="S7" i="10"/>
  <c r="T7" i="10" s="1"/>
  <c r="S5" i="10"/>
  <c r="T5" i="10" s="1"/>
  <c r="S9" i="10"/>
  <c r="T9" i="10" s="1"/>
  <c r="S6" i="10"/>
  <c r="T6" i="10" s="1"/>
  <c r="A44" i="10" l="1"/>
  <c r="A25" i="10"/>
  <c r="Z7" i="10"/>
  <c r="Z8" i="10" s="1"/>
  <c r="Z9" i="10" s="1"/>
  <c r="AC6" i="10"/>
  <c r="F11" i="10"/>
  <c r="A45" i="10"/>
  <c r="Z10" i="10"/>
  <c r="AC10" i="10" s="1"/>
  <c r="F10" i="10"/>
  <c r="C30" i="1"/>
  <c r="C26" i="1"/>
  <c r="C15" i="1"/>
  <c r="E32" i="10" s="1"/>
  <c r="D11" i="3" l="1"/>
  <c r="E52" i="10"/>
  <c r="H15" i="1"/>
  <c r="E55" i="10"/>
  <c r="H21" i="1"/>
  <c r="E53" i="10"/>
  <c r="H26" i="1"/>
  <c r="H30" i="1"/>
  <c r="D18" i="8"/>
  <c r="F12" i="10"/>
  <c r="F44" i="10" s="1"/>
  <c r="K27" i="2"/>
  <c r="F29" i="2"/>
  <c r="H29" i="2"/>
  <c r="G29" i="2"/>
  <c r="F24" i="2"/>
  <c r="G24" i="2"/>
  <c r="H24" i="2"/>
  <c r="D17" i="2"/>
  <c r="F15" i="2"/>
  <c r="G15" i="2"/>
  <c r="H15" i="2"/>
  <c r="E11" i="10"/>
  <c r="F30" i="1"/>
  <c r="G30" i="1"/>
  <c r="F8" i="1"/>
  <c r="G8" i="1"/>
  <c r="G15" i="1"/>
  <c r="F15" i="1"/>
  <c r="F21" i="1"/>
  <c r="G21" i="1"/>
  <c r="G26" i="1"/>
  <c r="F26" i="1"/>
  <c r="D15" i="8"/>
  <c r="E4" i="10"/>
  <c r="Z11" i="10"/>
  <c r="AC11" i="10" s="1"/>
  <c r="A7" i="10"/>
  <c r="C31" i="1"/>
  <c r="H31" i="1" s="1"/>
  <c r="D13" i="8"/>
  <c r="D14" i="8"/>
  <c r="K25" i="2"/>
  <c r="D12" i="3"/>
  <c r="D10" i="3"/>
  <c r="C16" i="1"/>
  <c r="H16" i="1" s="1"/>
  <c r="K24" i="2"/>
  <c r="K26" i="2"/>
  <c r="K28" i="2"/>
  <c r="D9" i="3"/>
  <c r="D18" i="2" l="1"/>
  <c r="D10" i="8"/>
  <c r="D12" i="8" s="1"/>
  <c r="D4" i="5"/>
  <c r="G18" i="2"/>
  <c r="F18" i="2"/>
  <c r="H18" i="2"/>
  <c r="F26" i="10"/>
  <c r="F25" i="10"/>
  <c r="H18" i="8"/>
  <c r="F18" i="8"/>
  <c r="G18" i="8"/>
  <c r="F45" i="10"/>
  <c r="D19" i="3"/>
  <c r="E5" i="10"/>
  <c r="H14" i="8"/>
  <c r="H15" i="8"/>
  <c r="H13" i="8"/>
  <c r="K29" i="2"/>
  <c r="D7" i="5"/>
  <c r="D20" i="3"/>
  <c r="D18" i="3"/>
  <c r="G17" i="2"/>
  <c r="F17" i="2"/>
  <c r="H17" i="2"/>
  <c r="F16" i="1"/>
  <c r="G16" i="1"/>
  <c r="G31" i="1"/>
  <c r="F31" i="1"/>
  <c r="E10" i="10"/>
  <c r="G14" i="8"/>
  <c r="F14" i="8"/>
  <c r="F13" i="8"/>
  <c r="G13" i="8"/>
  <c r="F15" i="8"/>
  <c r="G15" i="8"/>
  <c r="Z12" i="10"/>
  <c r="AC12" i="10" s="1"/>
  <c r="C32" i="1"/>
  <c r="H32" i="1" s="1"/>
  <c r="D16" i="8"/>
  <c r="D17" i="8" s="1"/>
  <c r="H12" i="8" l="1"/>
  <c r="F12" i="8"/>
  <c r="G12" i="8"/>
  <c r="H10" i="8"/>
  <c r="F17" i="8"/>
  <c r="G17" i="8"/>
  <c r="H17" i="8"/>
  <c r="E12" i="10"/>
  <c r="H16" i="8"/>
  <c r="D10" i="5"/>
  <c r="D14" i="3"/>
  <c r="D4" i="3"/>
  <c r="F10" i="8"/>
  <c r="G10" i="8"/>
  <c r="G32" i="1"/>
  <c r="F32" i="1"/>
  <c r="F16" i="8"/>
  <c r="G16" i="8"/>
  <c r="Z13" i="10"/>
  <c r="AC13" i="10" s="1"/>
  <c r="D13" i="3"/>
  <c r="C34" i="1"/>
  <c r="E54" i="10" s="1"/>
  <c r="E45" i="10" l="1"/>
  <c r="E26" i="10"/>
  <c r="E25" i="10"/>
  <c r="E44" i="10"/>
  <c r="D5" i="3"/>
  <c r="D7" i="8"/>
  <c r="Z14" i="10"/>
  <c r="AC14" i="10" s="1"/>
  <c r="J24" i="2"/>
  <c r="J26" i="2"/>
  <c r="J28" i="2"/>
  <c r="J27" i="2"/>
  <c r="J25" i="2"/>
  <c r="B26" i="1"/>
  <c r="D53" i="10" l="1"/>
  <c r="J29" i="2"/>
  <c r="Z15" i="10"/>
  <c r="H7" i="8"/>
  <c r="G7" i="8"/>
  <c r="F7" i="8"/>
  <c r="D7" i="3"/>
  <c r="D8" i="3"/>
  <c r="C13" i="8"/>
  <c r="B30" i="1"/>
  <c r="B15" i="1"/>
  <c r="D32" i="10" s="1"/>
  <c r="Z16" i="10" l="1"/>
  <c r="AC15" i="10"/>
  <c r="Z17" i="10"/>
  <c r="AC16" i="10"/>
  <c r="D55" i="10"/>
  <c r="D52" i="10"/>
  <c r="C11" i="3"/>
  <c r="C18" i="8"/>
  <c r="D11" i="10"/>
  <c r="D4" i="10"/>
  <c r="C9" i="3"/>
  <c r="C14" i="8"/>
  <c r="C12" i="3"/>
  <c r="C15" i="8"/>
  <c r="C10" i="3"/>
  <c r="C17" i="2"/>
  <c r="B31" i="1"/>
  <c r="B16" i="1"/>
  <c r="C18" i="2" l="1"/>
  <c r="C10" i="8"/>
  <c r="C12" i="8" s="1"/>
  <c r="C4" i="5"/>
  <c r="Z18" i="10"/>
  <c r="AC17" i="10"/>
  <c r="D10" i="10"/>
  <c r="C7" i="5"/>
  <c r="D5" i="10"/>
  <c r="C16" i="8"/>
  <c r="C17" i="8" s="1"/>
  <c r="C19" i="3"/>
  <c r="C20" i="3"/>
  <c r="C18" i="3"/>
  <c r="B32" i="1"/>
  <c r="Z19" i="10" l="1"/>
  <c r="AC18" i="10"/>
  <c r="D12" i="10"/>
  <c r="C4" i="3"/>
  <c r="C10" i="5"/>
  <c r="C14" i="3"/>
  <c r="B34" i="1"/>
  <c r="D54" i="10" s="1"/>
  <c r="C13" i="3"/>
  <c r="D45" i="10" l="1"/>
  <c r="D26" i="10"/>
  <c r="D25" i="10"/>
  <c r="Z20" i="10"/>
  <c r="AC19" i="10"/>
  <c r="D44" i="10"/>
  <c r="C7" i="8"/>
  <c r="C5" i="3"/>
  <c r="Z21" i="10" l="1"/>
  <c r="Z22" i="10" s="1"/>
  <c r="Z23" i="10" s="1"/>
  <c r="Z24" i="10" s="1"/>
  <c r="AC20" i="10"/>
  <c r="AD6" i="10" s="1"/>
  <c r="AE6" i="10" s="1"/>
  <c r="A19" i="10" s="1"/>
  <c r="C7" i="3"/>
  <c r="C8" i="3"/>
  <c r="AD12" i="10" l="1"/>
  <c r="AE12" i="10" s="1"/>
  <c r="AD21" i="10"/>
  <c r="AD22" i="10"/>
  <c r="AD8" i="10"/>
  <c r="AE8" i="10" s="1"/>
  <c r="A21" i="10" s="1"/>
  <c r="AD16" i="10"/>
  <c r="AD26" i="10"/>
  <c r="AD14" i="10"/>
  <c r="AD4" i="10"/>
  <c r="AE4" i="10" s="1"/>
  <c r="A17" i="10" s="1"/>
  <c r="F17" i="10" s="1"/>
  <c r="AD15" i="10"/>
  <c r="AE15" i="10" s="1"/>
  <c r="AD13" i="10"/>
  <c r="AE13" i="10" s="1"/>
  <c r="AD17" i="10"/>
  <c r="AF6" i="10"/>
  <c r="AD20" i="10"/>
  <c r="AD27" i="10"/>
  <c r="AD9" i="10"/>
  <c r="AE9" i="10" s="1"/>
  <c r="A22" i="10" s="1"/>
  <c r="AD18" i="10"/>
  <c r="AD5" i="10"/>
  <c r="AE5" i="10" s="1"/>
  <c r="AD10" i="10"/>
  <c r="AE10" i="10" s="1"/>
  <c r="AD25" i="10"/>
  <c r="AD19" i="10"/>
  <c r="AD7" i="10"/>
  <c r="AE7" i="10" s="1"/>
  <c r="A20" i="10" s="1"/>
  <c r="AD24" i="10"/>
  <c r="AD3" i="10"/>
  <c r="AE3" i="10" s="1"/>
  <c r="A16" i="10" s="1"/>
  <c r="AD11" i="10"/>
  <c r="AE11" i="10" s="1"/>
  <c r="AD23" i="10"/>
  <c r="D19" i="10"/>
  <c r="E19" i="10"/>
  <c r="F19" i="10"/>
  <c r="AF3" i="10" l="1"/>
  <c r="D17" i="10"/>
  <c r="E17" i="10"/>
  <c r="AF5" i="10"/>
  <c r="A18" i="10"/>
  <c r="G19" i="10"/>
  <c r="D18" i="10" l="1"/>
  <c r="E18" i="10"/>
  <c r="F18" i="10"/>
  <c r="AG5" i="10"/>
  <c r="AH5" i="10" s="1"/>
  <c r="AG4" i="10"/>
  <c r="AH4" i="10" s="1"/>
  <c r="AG12" i="10"/>
  <c r="AH12" i="10" s="1"/>
  <c r="AG10" i="10"/>
  <c r="AH10" i="10" s="1"/>
  <c r="AG8" i="10"/>
  <c r="AH8" i="10" s="1"/>
  <c r="AG7" i="10"/>
  <c r="AH7" i="10" s="1"/>
  <c r="AG13" i="10"/>
  <c r="AH13" i="10" s="1"/>
  <c r="AG9" i="10"/>
  <c r="AH9" i="10" s="1"/>
  <c r="AG11" i="10"/>
  <c r="AH11" i="10" s="1"/>
  <c r="AG3" i="10"/>
  <c r="AH3" i="10" s="1"/>
  <c r="AG6" i="10"/>
  <c r="AH6" i="10" s="1"/>
  <c r="E16" i="10"/>
  <c r="F16" i="10"/>
  <c r="D16" i="10"/>
  <c r="F21" i="10"/>
  <c r="F20" i="10"/>
  <c r="F22" i="10"/>
  <c r="G18" i="10" l="1"/>
  <c r="G16" i="10"/>
  <c r="E20" i="10"/>
  <c r="E22" i="10"/>
  <c r="E21" i="10"/>
  <c r="AF10" i="10" l="1"/>
  <c r="AF12" i="10" l="1"/>
  <c r="AF11" i="10"/>
  <c r="AF8" i="10"/>
  <c r="AF13" i="10"/>
  <c r="D22" i="10"/>
  <c r="D21" i="10"/>
  <c r="G21" i="10" s="1"/>
  <c r="D20" i="10"/>
  <c r="G20" i="10" s="1"/>
  <c r="AF7" i="10"/>
  <c r="G55" i="10" l="1"/>
  <c r="G54" i="10"/>
  <c r="G52" i="10"/>
  <c r="G22" i="10"/>
  <c r="G17" i="10"/>
  <c r="G10" i="10"/>
  <c r="AF4" i="10"/>
  <c r="AF9" i="10"/>
  <c r="G51" i="10"/>
  <c r="G53" i="10"/>
  <c r="H22" i="10" l="1"/>
  <c r="G56" i="10"/>
  <c r="H21" i="10"/>
  <c r="H18" i="10"/>
  <c r="H17" i="10"/>
  <c r="H19" i="10"/>
  <c r="G11" i="10"/>
  <c r="H20" i="10"/>
  <c r="H16" i="10"/>
  <c r="M19" i="10" l="1"/>
  <c r="P19" i="10" s="1"/>
  <c r="M18" i="10"/>
  <c r="P18" i="10" s="1"/>
  <c r="M16" i="10"/>
  <c r="P16" i="10" s="1"/>
  <c r="M17" i="10"/>
  <c r="P17" i="10" s="1"/>
  <c r="M20" i="10"/>
  <c r="P20" i="10" s="1"/>
  <c r="M22" i="10"/>
  <c r="P22" i="10" s="1"/>
  <c r="M21" i="10"/>
  <c r="P21" i="10" s="1"/>
  <c r="P23" i="10" l="1"/>
  <c r="M23" i="10" s="1"/>
  <c r="Q19" i="10" l="1"/>
  <c r="Q18" i="10"/>
  <c r="Q17" i="10"/>
  <c r="Q16" i="10"/>
  <c r="Q20" i="10"/>
  <c r="Q22" i="10"/>
  <c r="Q21" i="10"/>
</calcChain>
</file>

<file path=xl/sharedStrings.xml><?xml version="1.0" encoding="utf-8"?>
<sst xmlns="http://schemas.openxmlformats.org/spreadsheetml/2006/main" count="738" uniqueCount="330">
  <si>
    <t>Indicator</t>
  </si>
  <si>
    <t>Imobilizari corporale</t>
  </si>
  <si>
    <t>Property, plant and equipment</t>
  </si>
  <si>
    <t>Investitii imobiliare</t>
  </si>
  <si>
    <t>Investment property</t>
  </si>
  <si>
    <t>Total active pe termen lung</t>
  </si>
  <si>
    <t>Total non-current assets</t>
  </si>
  <si>
    <t>Creante comerciale si alte creante</t>
  </si>
  <si>
    <t>Total active curente</t>
  </si>
  <si>
    <t>Total current assets</t>
  </si>
  <si>
    <t>Total activ</t>
  </si>
  <si>
    <t>Total assets</t>
  </si>
  <si>
    <t>Capital social</t>
  </si>
  <si>
    <t>Issued capital</t>
  </si>
  <si>
    <t>Share premium</t>
  </si>
  <si>
    <t>Rezerve</t>
  </si>
  <si>
    <t>Rezultat reportat</t>
  </si>
  <si>
    <t>Retained earnings</t>
  </si>
  <si>
    <t>Total capitaluri</t>
  </si>
  <si>
    <t>Imprumuturi</t>
  </si>
  <si>
    <t>Deferred tax liabilities</t>
  </si>
  <si>
    <t>Total datorii pe termen lung</t>
  </si>
  <si>
    <t>Total non-current liabilities</t>
  </si>
  <si>
    <t>Total datorii curente</t>
  </si>
  <si>
    <t>Total current liabilities</t>
  </si>
  <si>
    <t>Total datorii</t>
  </si>
  <si>
    <t>Total liabilities</t>
  </si>
  <si>
    <t>Total capitaluri si datorii</t>
  </si>
  <si>
    <t>Revenue</t>
  </si>
  <si>
    <t>Raw materials and consumables used</t>
  </si>
  <si>
    <t>Depreciation and amortisation expenses</t>
  </si>
  <si>
    <t>Other expenses</t>
  </si>
  <si>
    <t>Profit (pierdere) inaintea impozitarii</t>
  </si>
  <si>
    <t>Impozit pe profit</t>
  </si>
  <si>
    <t>Venituri din chirii</t>
  </si>
  <si>
    <t xml:space="preserve"> Rental and royalty income </t>
  </si>
  <si>
    <t>Total vanzari nete</t>
  </si>
  <si>
    <t>Alte venituri</t>
  </si>
  <si>
    <t xml:space="preserve"> - Venituri din prestari servicii</t>
  </si>
  <si>
    <t xml:space="preserve"> - Venituri din vanzari de marfuri</t>
  </si>
  <si>
    <t xml:space="preserve"> - Venituri din alte activitati</t>
  </si>
  <si>
    <t>© ROMCARBON SA</t>
  </si>
  <si>
    <t xml:space="preserve"> - Services rendered</t>
  </si>
  <si>
    <t xml:space="preserve"> - Sale of commodities</t>
  </si>
  <si>
    <t xml:space="preserve"> - Revenues from sundry services</t>
  </si>
  <si>
    <t>EBITDA</t>
  </si>
  <si>
    <t>Formula</t>
  </si>
  <si>
    <t>EBITDA in total vanzari</t>
  </si>
  <si>
    <t>EBITDA in capitaluri proprii</t>
  </si>
  <si>
    <t>Rata profitului brut</t>
  </si>
  <si>
    <t>Cifra de afaceri</t>
  </si>
  <si>
    <t>Indicatorul lichiditatii curente</t>
  </si>
  <si>
    <t>Indicatorul lichiditatii imediate(testul acid)</t>
  </si>
  <si>
    <t>Indicatorul gradului de indatorare(1)</t>
  </si>
  <si>
    <t>Indicatorul gradului de indatorare(2)</t>
  </si>
  <si>
    <t>Rata de acoperire a dobanzii</t>
  </si>
  <si>
    <t>Viteza de rotatie a creantelor comerciale</t>
  </si>
  <si>
    <t>Viteza de rotatie a datoriilor comerciale</t>
  </si>
  <si>
    <t>Rata rentabilitatii economice(ROA)</t>
  </si>
  <si>
    <t>Rata rentabilitatii financiare(ROE)</t>
  </si>
  <si>
    <t>Rata rentabilitatii comerciale(ROS)</t>
  </si>
  <si>
    <t>EBITDA/Cifra de afaceri</t>
  </si>
  <si>
    <t>EBITDA/Capitaluri</t>
  </si>
  <si>
    <t>Profit brut/Cifra de afaceri</t>
  </si>
  <si>
    <t>Active curente/Datorii curente</t>
  </si>
  <si>
    <t>(Active curente-Stocuri)/Datorii curente</t>
  </si>
  <si>
    <t>Datorii pe termen lung/Capitaluri</t>
  </si>
  <si>
    <t>Total datorii/Total active</t>
  </si>
  <si>
    <t>EBIT/Cheltuieli cu dobanzile</t>
  </si>
  <si>
    <t>EBIT</t>
  </si>
  <si>
    <t>Sold mediu creante comerciale/Cifra de afaceri</t>
  </si>
  <si>
    <t>Sold mediu datorii comerciale/Cifra de afaceri</t>
  </si>
  <si>
    <t>Rezultat net/Active totale</t>
  </si>
  <si>
    <t>Rezultat net/Capitaluri</t>
  </si>
  <si>
    <t>Rezultat net/Cifra de afaceri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</si>
  <si>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</si>
  <si>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</si>
  <si>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</si>
  <si>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</si>
  <si>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</si>
  <si>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Vezi pagina EBIT-EBITDA</t>
  </si>
  <si>
    <t>Vanzari nete + Venituri din chirii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</si>
  <si>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</si>
  <si>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</si>
  <si>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</si>
  <si>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</si>
  <si>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</si>
  <si>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Fax: +40(0)238 710 697</t>
  </si>
  <si>
    <t>investor.relations@romcarbon.com</t>
  </si>
  <si>
    <t>List1</t>
  </si>
  <si>
    <t>List2</t>
  </si>
  <si>
    <t>List3</t>
  </si>
  <si>
    <t>Date</t>
  </si>
  <si>
    <t>Rank</t>
  </si>
  <si>
    <t>Pozitie</t>
  </si>
  <si>
    <t>Center</t>
  </si>
  <si>
    <t>Value</t>
  </si>
  <si>
    <t>%</t>
  </si>
  <si>
    <t>www.romcarbon.com</t>
  </si>
  <si>
    <t xml:space="preserve"> - Venituri din vanzari de produse finite</t>
  </si>
  <si>
    <t xml:space="preserve"> - Sales of finished goods</t>
  </si>
  <si>
    <t>Period</t>
  </si>
  <si>
    <t>Camp</t>
  </si>
  <si>
    <t>Year</t>
  </si>
  <si>
    <t>List5</t>
  </si>
  <si>
    <t>Days</t>
  </si>
  <si>
    <t>Trimestrul1</t>
  </si>
  <si>
    <t>Trimestrul3</t>
  </si>
  <si>
    <t>Semestrul1</t>
  </si>
  <si>
    <t xml:space="preserve">3 luni </t>
  </si>
  <si>
    <t xml:space="preserve">6 luni </t>
  </si>
  <si>
    <t xml:space="preserve">9 luni </t>
  </si>
  <si>
    <t xml:space="preserve">31 Martie </t>
  </si>
  <si>
    <t xml:space="preserve">30 Iunie </t>
  </si>
  <si>
    <t xml:space="preserve">30 Septembrie </t>
  </si>
  <si>
    <t>31 Martie</t>
  </si>
  <si>
    <t>30 Iunie</t>
  </si>
  <si>
    <t>30 Septembrie</t>
  </si>
  <si>
    <r>
      <rPr>
        <b/>
        <u/>
        <sz val="11"/>
        <rFont val="Candara"/>
        <family val="2"/>
      </rPr>
      <t>Nota: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Acest document a fost pregatit in scop informativ.</t>
    </r>
    <r>
      <rPr>
        <b/>
        <sz val="11"/>
        <rFont val="Candara"/>
        <family val="2"/>
      </rPr>
      <t xml:space="preserve">
</t>
    </r>
  </si>
  <si>
    <t>Sursa datelor o reprezinta situatiile financiare ale companiei.</t>
  </si>
  <si>
    <t>In acest fisier toate sumele sunt exprimate in lei.</t>
  </si>
  <si>
    <t>Str.Transilvaniei, nr.132, Buzau</t>
  </si>
  <si>
    <t>Cod postal: 120012</t>
  </si>
  <si>
    <t>Tel: +40(0)238 711 155</t>
  </si>
  <si>
    <t>Profit net</t>
  </si>
  <si>
    <t>Active pe termen lung</t>
  </si>
  <si>
    <t>Active curente</t>
  </si>
  <si>
    <t>Capitaluri</t>
  </si>
  <si>
    <t>Total Datorii</t>
  </si>
  <si>
    <t>Comparatii cu inceputul anului pentru ultimele 3 perioade</t>
  </si>
  <si>
    <t>01 Ianuarie</t>
  </si>
  <si>
    <t>Evolutie</t>
  </si>
  <si>
    <t>Nr.zile</t>
  </si>
  <si>
    <t>Nota: In EBIT si EBITDA sunt incluse si elemente nerecurente cum ar fi dividendele, vanzari de active, altele.</t>
  </si>
  <si>
    <t>Datorii</t>
  </si>
  <si>
    <t>Capitaluri&amp;Datorii</t>
  </si>
  <si>
    <t>Activ</t>
  </si>
  <si>
    <t>Datorii pe termen lung</t>
  </si>
  <si>
    <t>Datorii curente</t>
  </si>
  <si>
    <t>Selecteaza primul element de comparatie &gt;&gt;&gt;</t>
  </si>
  <si>
    <t>Selecteaza al doilea element de comparatie &gt;&gt;&gt;</t>
  </si>
  <si>
    <t>Selecteaza indicatorul &gt;&gt;&gt;</t>
  </si>
  <si>
    <t>Selecteaza anul &gt;&gt;&gt;</t>
  </si>
  <si>
    <t>Selecteaza anul             &gt;&gt;&gt;</t>
  </si>
  <si>
    <t>Ponderi in Cifra de afaceri</t>
  </si>
  <si>
    <t>Grad indatorare</t>
  </si>
  <si>
    <t>Lichiditate curenta</t>
  </si>
  <si>
    <t>EBITDA Operational</t>
  </si>
  <si>
    <r>
      <t xml:space="preserve">Nota: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e calculat pornind de la rezultatul net si include si elemente nerecurente cum ar fi dividendele, vanzari de active, altele.</t>
    </r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</si>
  <si>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ia in calcul doar activitatea de exploatare, excluzand cheltuiala cu amortizarea, vanzarile de active, elementele nerecurente si activitatea financiara.</t>
    </r>
  </si>
  <si>
    <t>Intangible assets other than goodwill</t>
  </si>
  <si>
    <t>Investments in subsidiaries, joint ventures and associates</t>
  </si>
  <si>
    <t>Current inventories</t>
  </si>
  <si>
    <t>Trade and other current receivables</t>
  </si>
  <si>
    <t>Other current financial assets</t>
  </si>
  <si>
    <t>Other current non-financial assets</t>
  </si>
  <si>
    <t>Cash and cash equivalents</t>
  </si>
  <si>
    <t>Active imobilizante detinute in vederea vanzarii</t>
  </si>
  <si>
    <t>Non-current assets or disposal groups classified as held for sale or as held for distribution to owners</t>
  </si>
  <si>
    <t>Other reserves</t>
  </si>
  <si>
    <t>Alte datorii financiare pe termen lung</t>
  </si>
  <si>
    <t>Other non-current financial liabilities</t>
  </si>
  <si>
    <t>Other non-current non-financial liabilities</t>
  </si>
  <si>
    <t xml:space="preserve">Datorii comerciale </t>
  </si>
  <si>
    <t>Alte datorii financiare curente</t>
  </si>
  <si>
    <t>Other current financial liabilities</t>
  </si>
  <si>
    <t>Alte datorii nefinanciare curente</t>
  </si>
  <si>
    <t>Other current non-financial liabilities</t>
  </si>
  <si>
    <t>Venituri</t>
  </si>
  <si>
    <t>Other Income</t>
  </si>
  <si>
    <t xml:space="preserve">Variatia stocurilor </t>
  </si>
  <si>
    <t>Increase (decrease) in inventories of finished goods and work in progress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</si>
  <si>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</si>
  <si>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</si>
  <si>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</si>
  <si>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Cheltuieli operationale</t>
  </si>
  <si>
    <t xml:space="preserve">Alte castiguri sau pierderi </t>
  </si>
  <si>
    <t>Profit (pierdere) din activitati operationale</t>
  </si>
  <si>
    <t>Profit (loss) from operating activities</t>
  </si>
  <si>
    <t>Venituri financiare</t>
  </si>
  <si>
    <t>Finance Income</t>
  </si>
  <si>
    <t>Cheltuieli financiare</t>
  </si>
  <si>
    <t>Detalii indicator "Venituri"</t>
  </si>
  <si>
    <t>Ponderi in Venituri</t>
  </si>
  <si>
    <t>Detalii indicator "Alte venituri"</t>
  </si>
  <si>
    <t>Venituri (Vanzari)</t>
  </si>
  <si>
    <t>Total Cifra de Afaceri</t>
  </si>
  <si>
    <t>31 Martie 2021</t>
  </si>
  <si>
    <t>31 Martie 2022</t>
  </si>
  <si>
    <t>Venituri din dobanzi</t>
  </si>
  <si>
    <t>31 Martie 2023</t>
  </si>
  <si>
    <t>Profit net fara impactul profitului din vanzari de active</t>
  </si>
  <si>
    <t>Profitul/pierderea anului</t>
  </si>
  <si>
    <t>Imobilizari necorporale</t>
  </si>
  <si>
    <t>Active financiare</t>
  </si>
  <si>
    <t xml:space="preserve">Stocuri </t>
  </si>
  <si>
    <t xml:space="preserve">Impozite de recuperat </t>
  </si>
  <si>
    <t>Current tax assets</t>
  </si>
  <si>
    <t>Alte active financiare curente</t>
  </si>
  <si>
    <t>Alte active nefinanciare curente</t>
  </si>
  <si>
    <t xml:space="preserve">Numerar si echivalente de numerar </t>
  </si>
  <si>
    <t>Prime de capital</t>
  </si>
  <si>
    <t>Total Equity</t>
  </si>
  <si>
    <t>Alte provizioane</t>
  </si>
  <si>
    <t>Other non – current provisions</t>
  </si>
  <si>
    <t>Datorii privind impozitul amanat</t>
  </si>
  <si>
    <t>Alte datorii nefinanciare pe termen lung</t>
  </si>
  <si>
    <t>Trade and other payables</t>
  </si>
  <si>
    <t>Total equity and liabilities</t>
  </si>
  <si>
    <t>Employee benefits expenses and social charges</t>
  </si>
  <si>
    <t>Other gains and losses</t>
  </si>
  <si>
    <t>Finance Cost</t>
  </si>
  <si>
    <t>Castiguri(pierderi) din deprecierea activelor financiare</t>
  </si>
  <si>
    <t>Gain/loss from the impairment of financial investment</t>
  </si>
  <si>
    <t>Profit (loss) before tax</t>
  </si>
  <si>
    <t>Income Tax</t>
  </si>
  <si>
    <t>Profit (pierdere) net</t>
  </si>
  <si>
    <t>Profit (loss) of the year</t>
  </si>
  <si>
    <t>Castig/pierdere neta din reevaluarea imobilizarilor corporale</t>
  </si>
  <si>
    <t>Other comprehensive income</t>
  </si>
  <si>
    <t>Ajustare impozit amanat aferent rezervelor din reevaluare nedeductibile fiscal</t>
  </si>
  <si>
    <t>Deferred tax adjustment for non-deductible tax revaluation reserves</t>
  </si>
  <si>
    <t>Total rezultat global</t>
  </si>
  <si>
    <t>Total comprehensive income</t>
  </si>
  <si>
    <t xml:space="preserve"> - Venituri din vanzari de semifabricate</t>
  </si>
  <si>
    <t xml:space="preserve"> - Sales of intermediary goods</t>
  </si>
  <si>
    <t>Profit from sales of assets</t>
  </si>
  <si>
    <t>Profit/pierdere din vanzarea de active</t>
  </si>
  <si>
    <t>Sectorul mase plastice  (polistiren, polietilena, polipropilena)</t>
  </si>
  <si>
    <t xml:space="preserve">Plastic processing sector: polyethylene+polystyrene+polypropylene </t>
  </si>
  <si>
    <t>Sectorul Polimeri reciclati si compounduri</t>
  </si>
  <si>
    <t>Regenerated polymers &amp; Compounds</t>
  </si>
  <si>
    <t>Alte sectoare productive (filtre auto si industriale, carbune activ, materiale de protectie, prelucrat PVC)</t>
  </si>
  <si>
    <t>Other production sectors (industrial and automotive filters, active carbon, breathing protective equipment, PVC traffic base)</t>
  </si>
  <si>
    <t>Alte activitati</t>
  </si>
  <si>
    <t>Other activities</t>
  </si>
  <si>
    <t>Rezultat global</t>
  </si>
  <si>
    <t>Detalii indicator "Venituri" pe sectoare de activitate</t>
  </si>
  <si>
    <t>Viteza de rotatie a activelor imobilizate</t>
  </si>
  <si>
    <t>Cifra de afaceri/Active pe termen lung</t>
  </si>
  <si>
    <t>Profitul net al anului</t>
  </si>
  <si>
    <t>Cheltuieli / (Venit) cu impozitul pe profit</t>
  </si>
  <si>
    <t>Amortizarea / (Depreciere) a activelor pe termen lung</t>
  </si>
  <si>
    <t>(Castig) / Pierdere din vanzarea de mijloace fixe</t>
  </si>
  <si>
    <t>(Castig) / Pierdere din cedarea activelor detinute spre vanzare</t>
  </si>
  <si>
    <t>Castig din Construirea Interna a Mijloacelor Fixe</t>
  </si>
  <si>
    <t>Cheltuieli / (Venituri) privind ajustarile de valoare pentru clienti si stocuri</t>
  </si>
  <si>
    <t>Pierderi din creante si debitori diversi</t>
  </si>
  <si>
    <t>Cheltuieli cu dobanda si comisioanele bancare</t>
  </si>
  <si>
    <t>Venituri din subventii</t>
  </si>
  <si>
    <t>Castig / (Pierdere) nerealizat(a) din diferente de curs</t>
  </si>
  <si>
    <t>Miscari în capitalul circulant:</t>
  </si>
  <si>
    <t>(Crestere) / Descrestere creante comerciale si alte creante</t>
  </si>
  <si>
    <t>(Crestere) / Descrestere stocuri</t>
  </si>
  <si>
    <t>(Crestere) / Descrestere in alte active</t>
  </si>
  <si>
    <t>Crestere / (Descrestere) datorii comerciale</t>
  </si>
  <si>
    <t>Crestere / (Descrestere) alte datorii</t>
  </si>
  <si>
    <t>Numerar net utilizat în activitati operationale</t>
  </si>
  <si>
    <t>Impozit pe profit platit</t>
  </si>
  <si>
    <t>Dobanzi si comisioane bancare platite</t>
  </si>
  <si>
    <t>Fluxuri de numerar din activitati de investitii:</t>
  </si>
  <si>
    <t>Dobanzi încasate</t>
  </si>
  <si>
    <t>Plati aferente imobilizarilor corporale</t>
  </si>
  <si>
    <t>Încasari din vanzarea de imobilizari corporale si necorporale</t>
  </si>
  <si>
    <t>Încasari din vanzarea activelelor detinute spre vanzare</t>
  </si>
  <si>
    <t>Imprumuturi acordate partilor afiliate</t>
  </si>
  <si>
    <t>Plati active necorporale</t>
  </si>
  <si>
    <t>Dividende incasate</t>
  </si>
  <si>
    <t>Numerar net generat din / utilizat în activitati de investitii</t>
  </si>
  <si>
    <t>Fluxuri de numerar din activitati de finantare:</t>
  </si>
  <si>
    <t>Incasari/Rambursari din impumuturi bancare</t>
  </si>
  <si>
    <t>Plati dividende</t>
  </si>
  <si>
    <t>Numerar net (utilizat) / generat din activitati de finantare</t>
  </si>
  <si>
    <t>Crestere neta / (descresterea) a numerarului si a echivalentelor de numerar</t>
  </si>
  <si>
    <t>Numerar si echivalente de numerar la începutul anului financiar</t>
  </si>
  <si>
    <t>Numerar si echivalente de numerar la sfarsitul anului financiar</t>
  </si>
  <si>
    <t>30 Iunie 2021</t>
  </si>
  <si>
    <t>30 Iunie 2022</t>
  </si>
  <si>
    <t>30 Iunie 2023</t>
  </si>
  <si>
    <t>6 luni 2021</t>
  </si>
  <si>
    <t>6 luni 2022</t>
  </si>
  <si>
    <t>6 luni 2023</t>
  </si>
  <si>
    <t>@ 6 luni</t>
  </si>
  <si>
    <t>6 LUNI</t>
  </si>
  <si>
    <t>Profit (Loss)</t>
  </si>
  <si>
    <t>Income tax expense / (income)</t>
  </si>
  <si>
    <t>Cheltuieli / (Venit) cu impozitul pe profit amanat</t>
  </si>
  <si>
    <t>Deferred income tax expense / (income)</t>
  </si>
  <si>
    <t>Non-current asset depreciation/(impairment)</t>
  </si>
  <si>
    <t>(Gain) / Loss on sale of fixed assets</t>
  </si>
  <si>
    <t>(Gain) / Loss on disposal of assets held for sales</t>
  </si>
  <si>
    <t>Gains on internal set-up of fixed assets</t>
  </si>
  <si>
    <t>Expenses / (Revenues) regarding value adjustments for clients and inventories</t>
  </si>
  <si>
    <t>Loss on receivables and sundry debtors</t>
  </si>
  <si>
    <t>Interest expense</t>
  </si>
  <si>
    <t>Interest income</t>
  </si>
  <si>
    <t>Income from subsidies</t>
  </si>
  <si>
    <t>Unrealised foreign exchange gain / (loss)</t>
  </si>
  <si>
    <t>Movements in working capital:</t>
  </si>
  <si>
    <t>(Increase) / Decrease in trade and other receivables</t>
  </si>
  <si>
    <t>(Increase) / Decrease in inventories</t>
  </si>
  <si>
    <t>(Increase) / Decrease in other assets</t>
  </si>
  <si>
    <t>Increase / (Decrease) in trade payables</t>
  </si>
  <si>
    <t>Increase / (Decrease) in other liabilities</t>
  </si>
  <si>
    <t>Cash used in operating activities</t>
  </si>
  <si>
    <t>Income tax paid</t>
  </si>
  <si>
    <t>Interest and bank charges paid</t>
  </si>
  <si>
    <t>Net cash used in operating activities</t>
  </si>
  <si>
    <t>Cash flows from investing activities:</t>
  </si>
  <si>
    <t>Interest received</t>
  </si>
  <si>
    <t>Payments for tangible assets</t>
  </si>
  <si>
    <t>Proceeds from sale of tangible and intangible assets</t>
  </si>
  <si>
    <t>Proceeds from sale of held-for-sale assets</t>
  </si>
  <si>
    <t>Plati aferente activelelor detinute spre vanzare</t>
  </si>
  <si>
    <t>Payments for assets held for sale</t>
  </si>
  <si>
    <t>Related party loans granted</t>
  </si>
  <si>
    <t>Payments for intangible assets</t>
  </si>
  <si>
    <t>Incasari din investitii financiare</t>
  </si>
  <si>
    <t>Proceeds from financial investments</t>
  </si>
  <si>
    <t>Plati pentru active financiare</t>
  </si>
  <si>
    <t>Payments for financial assets</t>
  </si>
  <si>
    <t>Dividends received</t>
  </si>
  <si>
    <t>Net cash generated by/used in investing activities</t>
  </si>
  <si>
    <t>Cash flows from financing activities:</t>
  </si>
  <si>
    <t>Proceeds/Repayments from bank loans</t>
  </si>
  <si>
    <t>Dividends paid</t>
  </si>
  <si>
    <t>Net cash generated by/used in financing activities</t>
  </si>
  <si>
    <t>Net increase/(decrease) in cash and cash equivalents</t>
  </si>
  <si>
    <t>Cash and cash equivalents at the beginning of the year</t>
  </si>
  <si>
    <t>Cash and cash equivalents at the end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</si>
</sst>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  <numFmt numFmtId="168" formatCode="_-* #,##0.00\ _l_e_i_-;\-* #,##0.00\ _l_e_i_-;_-* &quot;-&quot;??\ _l_e_i_-;_-@_-"/>
    <numFmt numFmtId="169" formatCode="#,##0\ [$lei-418];\-#,##0\ [$lei-418]"/>
    <numFmt numFmtId="170" formatCode="_(* #,##0_);_(* \(#,##0\);_(* &quot;-&quot;??_);_(@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.5"/>
      <color theme="1"/>
      <name val="Candara"/>
      <family val="2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u/>
      <sz val="11"/>
      <color theme="3" tint="-0.249977111117893"/>
      <name val="Candara"/>
      <family val="2"/>
    </font>
    <font>
      <sz val="12"/>
      <color theme="1"/>
      <name val="Candara"/>
      <family val="2"/>
    </font>
    <font>
      <u/>
      <sz val="11"/>
      <name val="Candara"/>
      <family val="2"/>
    </font>
    <font>
      <i/>
      <sz val="10.5"/>
      <color theme="3" tint="-0.249977111117893"/>
      <name val="Candara"/>
      <family val="2"/>
    </font>
    <font>
      <sz val="8"/>
      <name val="Calibri"/>
      <family val="2"/>
      <scheme val="minor"/>
    </font>
    <font>
      <b/>
      <u/>
      <sz val="11"/>
      <color theme="1"/>
      <name val="Candara"/>
      <family val="2"/>
    </font>
    <font>
      <sz val="9"/>
      <color rgb="FFFF0000"/>
      <name val="Verdana"/>
      <family val="2"/>
    </font>
    <font>
      <b/>
      <sz val="10"/>
      <name val="Candara"/>
      <family val="2"/>
    </font>
    <font>
      <b/>
      <i/>
      <sz val="11"/>
      <color theme="3" tint="-0.499984740745262"/>
      <name val="Candara"/>
      <family val="2"/>
    </font>
    <font>
      <sz val="9"/>
      <name val="Verdana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rgb="FF000000"/>
      <name val="Verdana"/>
      <family val="2"/>
    </font>
    <font>
      <b/>
      <i/>
      <sz val="9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19" fillId="0" borderId="0" applyNumberFormat="0" applyFill="0" applyBorder="0" applyAlignment="0" applyProtection="0"/>
    <xf numFmtId="0" fontId="20" fillId="4" borderId="3" applyNumberFormat="0" applyBorder="0" applyProtection="0">
      <alignment vertical="center"/>
    </xf>
  </cellStyleXfs>
  <cellXfs count="230">
    <xf numFmtId="0" fontId="0" fillId="0" borderId="0" xfId="0"/>
    <xf numFmtId="0" fontId="6" fillId="0" borderId="0" xfId="0" applyFont="1"/>
    <xf numFmtId="164" fontId="8" fillId="2" borderId="0" xfId="3" applyNumberFormat="1" applyFont="1" applyFill="1" applyAlignment="1">
      <alignment vertical="center"/>
    </xf>
    <xf numFmtId="164" fontId="7" fillId="2" borderId="1" xfId="3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10" fontId="7" fillId="2" borderId="1" xfId="2" applyNumberFormat="1" applyFont="1" applyFill="1" applyBorder="1"/>
    <xf numFmtId="164" fontId="8" fillId="2" borderId="0" xfId="0" applyNumberFormat="1" applyFont="1" applyFill="1"/>
    <xf numFmtId="164" fontId="9" fillId="2" borderId="0" xfId="4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165" fontId="9" fillId="2" borderId="0" xfId="1" applyNumberFormat="1" applyFont="1" applyFill="1"/>
    <xf numFmtId="164" fontId="10" fillId="2" borderId="1" xfId="3" applyNumberFormat="1" applyFont="1" applyFill="1" applyBorder="1" applyAlignment="1">
      <alignment vertical="center"/>
    </xf>
    <xf numFmtId="164" fontId="9" fillId="2" borderId="0" xfId="3" applyNumberFormat="1" applyFont="1" applyFill="1" applyAlignment="1">
      <alignment wrapText="1"/>
    </xf>
    <xf numFmtId="9" fontId="9" fillId="2" borderId="0" xfId="2" applyFont="1" applyFill="1"/>
    <xf numFmtId="164" fontId="9" fillId="2" borderId="0" xfId="3" applyNumberFormat="1" applyFont="1" applyFill="1" applyAlignment="1">
      <alignment vertical="center"/>
    </xf>
    <xf numFmtId="3" fontId="10" fillId="2" borderId="1" xfId="0" applyNumberFormat="1" applyFont="1" applyFill="1" applyBorder="1"/>
    <xf numFmtId="9" fontId="9" fillId="2" borderId="1" xfId="2" applyFont="1" applyFill="1" applyBorder="1"/>
    <xf numFmtId="164" fontId="9" fillId="2" borderId="0" xfId="3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center"/>
    </xf>
    <xf numFmtId="0" fontId="12" fillId="0" borderId="0" xfId="0" applyFont="1"/>
    <xf numFmtId="0" fontId="9" fillId="0" borderId="0" xfId="0" applyFont="1"/>
    <xf numFmtId="164" fontId="11" fillId="2" borderId="0" xfId="3" applyNumberFormat="1" applyFont="1" applyFill="1" applyAlignment="1">
      <alignment vertical="center"/>
    </xf>
    <xf numFmtId="164" fontId="14" fillId="2" borderId="1" xfId="3" applyNumberFormat="1" applyFont="1" applyFill="1" applyBorder="1" applyAlignment="1">
      <alignment vertical="center"/>
    </xf>
    <xf numFmtId="0" fontId="15" fillId="0" borderId="0" xfId="0" applyFont="1"/>
    <xf numFmtId="164" fontId="13" fillId="2" borderId="2" xfId="3" applyNumberFormat="1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0" fontId="17" fillId="0" borderId="0" xfId="0" applyFont="1"/>
    <xf numFmtId="3" fontId="6" fillId="0" borderId="0" xfId="0" applyNumberFormat="1" applyFont="1"/>
    <xf numFmtId="164" fontId="10" fillId="2" borderId="0" xfId="3" applyNumberFormat="1" applyFont="1" applyFill="1" applyAlignment="1">
      <alignment vertical="center"/>
    </xf>
    <xf numFmtId="10" fontId="9" fillId="2" borderId="0" xfId="2" applyNumberFormat="1" applyFont="1" applyFill="1" applyAlignment="1">
      <alignment horizontal="right" wrapText="1"/>
    </xf>
    <xf numFmtId="166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164" fontId="9" fillId="2" borderId="0" xfId="3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164" fontId="9" fillId="2" borderId="1" xfId="3" applyNumberFormat="1" applyFont="1" applyFill="1" applyBorder="1" applyAlignment="1">
      <alignment wrapText="1"/>
    </xf>
    <xf numFmtId="10" fontId="8" fillId="2" borderId="1" xfId="2" applyNumberFormat="1" applyFont="1" applyFill="1" applyBorder="1"/>
    <xf numFmtId="0" fontId="3" fillId="0" borderId="0" xfId="0" applyFont="1"/>
    <xf numFmtId="0" fontId="3" fillId="5" borderId="0" xfId="0" applyFont="1" applyFill="1"/>
    <xf numFmtId="0" fontId="3" fillId="7" borderId="0" xfId="0" applyFont="1" applyFill="1"/>
    <xf numFmtId="0" fontId="3" fillId="6" borderId="0" xfId="0" applyFont="1" applyFill="1"/>
    <xf numFmtId="0" fontId="3" fillId="0" borderId="0" xfId="0" applyFont="1" applyAlignment="1">
      <alignment horizontal="center"/>
    </xf>
    <xf numFmtId="167" fontId="3" fillId="0" borderId="0" xfId="1" applyNumberFormat="1" applyFont="1"/>
    <xf numFmtId="165" fontId="2" fillId="2" borderId="0" xfId="1" applyNumberFormat="1" applyFont="1" applyFill="1"/>
    <xf numFmtId="3" fontId="9" fillId="2" borderId="1" xfId="0" applyNumberFormat="1" applyFont="1" applyFill="1" applyBorder="1"/>
    <xf numFmtId="3" fontId="10" fillId="2" borderId="2" xfId="0" applyNumberFormat="1" applyFont="1" applyFill="1" applyBorder="1"/>
    <xf numFmtId="0" fontId="34" fillId="0" borderId="0" xfId="0" applyFont="1"/>
    <xf numFmtId="0" fontId="1" fillId="0" borderId="0" xfId="0" applyFont="1"/>
    <xf numFmtId="167" fontId="3" fillId="0" borderId="0" xfId="0" applyNumberFormat="1" applyFont="1"/>
    <xf numFmtId="10" fontId="8" fillId="2" borderId="0" xfId="2" applyNumberFormat="1" applyFont="1" applyFill="1"/>
    <xf numFmtId="3" fontId="8" fillId="2" borderId="0" xfId="0" applyNumberFormat="1" applyFont="1" applyFill="1"/>
    <xf numFmtId="43" fontId="3" fillId="0" borderId="0" xfId="1" applyFont="1"/>
    <xf numFmtId="0" fontId="3" fillId="7" borderId="0" xfId="0" applyFont="1" applyFill="1" applyAlignment="1">
      <alignment horizontal="center"/>
    </xf>
    <xf numFmtId="167" fontId="3" fillId="7" borderId="0" xfId="0" applyNumberFormat="1" applyFont="1" applyFill="1"/>
    <xf numFmtId="167" fontId="1" fillId="0" borderId="0" xfId="1" applyNumberFormat="1" applyFont="1"/>
    <xf numFmtId="167" fontId="1" fillId="0" borderId="0" xfId="0" applyNumberFormat="1" applyFont="1"/>
    <xf numFmtId="0" fontId="22" fillId="0" borderId="0" xfId="0" applyFont="1"/>
    <xf numFmtId="0" fontId="22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9" borderId="0" xfId="0" applyFont="1" applyFill="1"/>
    <xf numFmtId="0" fontId="22" fillId="9" borderId="0" xfId="0" applyFont="1" applyFill="1"/>
    <xf numFmtId="0" fontId="9" fillId="2" borderId="0" xfId="4" applyFont="1" applyFill="1" applyAlignment="1">
      <alignment horizontal="center" vertical="center"/>
    </xf>
    <xf numFmtId="3" fontId="1" fillId="0" borderId="0" xfId="0" applyNumberFormat="1" applyFont="1"/>
    <xf numFmtId="0" fontId="22" fillId="2" borderId="0" xfId="0" applyFont="1" applyFill="1" applyAlignment="1">
      <alignment horizontal="left"/>
    </xf>
    <xf numFmtId="0" fontId="36" fillId="8" borderId="0" xfId="0" applyFont="1" applyFill="1" applyAlignment="1">
      <alignment horizontal="center"/>
    </xf>
    <xf numFmtId="167" fontId="36" fillId="8" borderId="0" xfId="1" applyNumberFormat="1" applyFont="1" applyFill="1" applyAlignment="1">
      <alignment horizontal="center"/>
    </xf>
    <xf numFmtId="0" fontId="38" fillId="0" borderId="0" xfId="0" applyFont="1"/>
    <xf numFmtId="167" fontId="38" fillId="0" borderId="0" xfId="1" applyNumberFormat="1" applyFont="1"/>
    <xf numFmtId="167" fontId="11" fillId="2" borderId="0" xfId="1" applyNumberFormat="1" applyFont="1" applyFill="1" applyAlignment="1">
      <alignment horizontal="center" wrapText="1"/>
    </xf>
    <xf numFmtId="0" fontId="10" fillId="0" borderId="0" xfId="0" applyFont="1"/>
    <xf numFmtId="9" fontId="10" fillId="2" borderId="1" xfId="2" applyFont="1" applyFill="1" applyBorder="1"/>
    <xf numFmtId="3" fontId="9" fillId="0" borderId="0" xfId="0" applyNumberFormat="1" applyFont="1"/>
    <xf numFmtId="10" fontId="9" fillId="0" borderId="0" xfId="2" applyNumberFormat="1" applyFont="1"/>
    <xf numFmtId="10" fontId="9" fillId="2" borderId="0" xfId="2" applyNumberFormat="1" applyFont="1" applyFill="1"/>
    <xf numFmtId="164" fontId="8" fillId="2" borderId="0" xfId="3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164" fontId="6" fillId="0" borderId="0" xfId="0" applyNumberFormat="1" applyFont="1"/>
    <xf numFmtId="9" fontId="3" fillId="0" borderId="0" xfId="2" applyFont="1"/>
    <xf numFmtId="169" fontId="3" fillId="0" borderId="0" xfId="1" applyNumberFormat="1" applyFont="1"/>
    <xf numFmtId="0" fontId="33" fillId="0" borderId="0" xfId="0" applyFont="1"/>
    <xf numFmtId="164" fontId="1" fillId="0" borderId="0" xfId="0" applyNumberFormat="1" applyFont="1"/>
    <xf numFmtId="9" fontId="17" fillId="0" borderId="0" xfId="2" applyFont="1"/>
    <xf numFmtId="10" fontId="1" fillId="0" borderId="0" xfId="2" applyNumberFormat="1" applyFont="1"/>
    <xf numFmtId="0" fontId="3" fillId="10" borderId="0" xfId="0" applyFont="1" applyFill="1"/>
    <xf numFmtId="0" fontId="43" fillId="11" borderId="0" xfId="0" applyFont="1" applyFill="1"/>
    <xf numFmtId="165" fontId="43" fillId="11" borderId="0" xfId="1" applyNumberFormat="1" applyFont="1" applyFill="1"/>
    <xf numFmtId="0" fontId="22" fillId="13" borderId="0" xfId="0" applyFont="1" applyFill="1"/>
    <xf numFmtId="0" fontId="22" fillId="13" borderId="0" xfId="0" applyFont="1" applyFill="1" applyAlignment="1">
      <alignment vertical="center"/>
    </xf>
    <xf numFmtId="0" fontId="23" fillId="14" borderId="0" xfId="0" applyFont="1" applyFill="1" applyAlignment="1">
      <alignment vertical="center"/>
    </xf>
    <xf numFmtId="0" fontId="0" fillId="14" borderId="0" xfId="0" applyFill="1"/>
    <xf numFmtId="0" fontId="18" fillId="14" borderId="0" xfId="0" applyFont="1" applyFill="1" applyAlignment="1">
      <alignment vertical="center"/>
    </xf>
    <xf numFmtId="0" fontId="24" fillId="14" borderId="0" xfId="0" applyFont="1" applyFill="1" applyAlignment="1">
      <alignment horizontal="justify" vertical="center"/>
    </xf>
    <xf numFmtId="0" fontId="25" fillId="14" borderId="0" xfId="0" applyFont="1" applyFill="1"/>
    <xf numFmtId="0" fontId="12" fillId="14" borderId="0" xfId="0" applyFont="1" applyFill="1"/>
    <xf numFmtId="0" fontId="6" fillId="14" borderId="0" xfId="0" applyFont="1" applyFill="1"/>
    <xf numFmtId="0" fontId="26" fillId="14" borderId="0" xfId="5" applyFont="1" applyFill="1" applyAlignment="1"/>
    <xf numFmtId="0" fontId="9" fillId="13" borderId="0" xfId="0" applyFont="1" applyFill="1" applyAlignment="1">
      <alignment horizontal="left" vertical="top" wrapText="1"/>
    </xf>
    <xf numFmtId="0" fontId="0" fillId="13" borderId="0" xfId="0" applyFill="1"/>
    <xf numFmtId="0" fontId="9" fillId="13" borderId="0" xfId="0" applyFont="1" applyFill="1" applyAlignment="1">
      <alignment vertical="top" wrapText="1"/>
    </xf>
    <xf numFmtId="0" fontId="30" fillId="13" borderId="0" xfId="0" applyFont="1" applyFill="1" applyAlignment="1">
      <alignment vertical="top" wrapText="1"/>
    </xf>
    <xf numFmtId="0" fontId="10" fillId="13" borderId="0" xfId="0" applyFont="1" applyFill="1" applyAlignment="1">
      <alignment vertical="top" wrapText="1"/>
    </xf>
    <xf numFmtId="0" fontId="31" fillId="13" borderId="0" xfId="0" applyFont="1" applyFill="1" applyAlignment="1">
      <alignment vertical="top" wrapText="1"/>
    </xf>
    <xf numFmtId="0" fontId="29" fillId="13" borderId="0" xfId="0" applyFont="1" applyFill="1"/>
    <xf numFmtId="0" fontId="28" fillId="13" borderId="0" xfId="0" applyFont="1" applyFill="1"/>
    <xf numFmtId="0" fontId="32" fillId="13" borderId="0" xfId="0" applyFont="1" applyFill="1"/>
    <xf numFmtId="0" fontId="40" fillId="13" borderId="0" xfId="0" applyFont="1" applyFill="1"/>
    <xf numFmtId="164" fontId="16" fillId="12" borderId="1" xfId="3" applyNumberFormat="1" applyFont="1" applyFill="1" applyBorder="1" applyAlignment="1">
      <alignment vertical="center"/>
    </xf>
    <xf numFmtId="0" fontId="16" fillId="12" borderId="1" xfId="0" applyFont="1" applyFill="1" applyBorder="1" applyAlignment="1">
      <alignment horizontal="center"/>
    </xf>
    <xf numFmtId="0" fontId="22" fillId="2" borderId="0" xfId="0" applyFont="1" applyFill="1"/>
    <xf numFmtId="0" fontId="22" fillId="2" borderId="5" xfId="0" applyFont="1" applyFill="1" applyBorder="1"/>
    <xf numFmtId="164" fontId="9" fillId="2" borderId="6" xfId="3" applyNumberFormat="1" applyFont="1" applyFill="1" applyBorder="1" applyAlignment="1">
      <alignment vertical="center"/>
    </xf>
    <xf numFmtId="3" fontId="9" fillId="2" borderId="6" xfId="0" applyNumberFormat="1" applyFont="1" applyFill="1" applyBorder="1"/>
    <xf numFmtId="164" fontId="9" fillId="2" borderId="6" xfId="3" applyNumberFormat="1" applyFont="1" applyFill="1" applyBorder="1" applyAlignment="1">
      <alignment wrapText="1"/>
    </xf>
    <xf numFmtId="9" fontId="9" fillId="2" borderId="0" xfId="2" applyFont="1" applyFill="1" applyAlignment="1">
      <alignment horizontal="center" vertical="center"/>
    </xf>
    <xf numFmtId="9" fontId="9" fillId="2" borderId="0" xfId="2" applyFont="1" applyFill="1" applyAlignment="1">
      <alignment horizontal="center" wrapText="1"/>
    </xf>
    <xf numFmtId="9" fontId="9" fillId="2" borderId="0" xfId="2" applyFont="1" applyFill="1" applyAlignment="1">
      <alignment horizontal="center"/>
    </xf>
    <xf numFmtId="164" fontId="9" fillId="12" borderId="0" xfId="3" applyNumberFormat="1" applyFont="1" applyFill="1" applyAlignment="1">
      <alignment vertical="center"/>
    </xf>
    <xf numFmtId="164" fontId="9" fillId="12" borderId="6" xfId="3" applyNumberFormat="1" applyFont="1" applyFill="1" applyBorder="1" applyAlignment="1">
      <alignment vertical="center"/>
    </xf>
    <xf numFmtId="9" fontId="9" fillId="12" borderId="0" xfId="2" applyFont="1" applyFill="1" applyAlignment="1">
      <alignment horizontal="center" vertical="center"/>
    </xf>
    <xf numFmtId="164" fontId="7" fillId="12" borderId="1" xfId="3" applyNumberFormat="1" applyFont="1" applyFill="1" applyBorder="1" applyAlignment="1">
      <alignment vertical="center" wrapText="1"/>
    </xf>
    <xf numFmtId="10" fontId="44" fillId="12" borderId="1" xfId="2" applyNumberFormat="1" applyFont="1" applyFill="1" applyBorder="1" applyAlignment="1">
      <alignment horizontal="center" vertical="center" wrapText="1"/>
    </xf>
    <xf numFmtId="164" fontId="8" fillId="13" borderId="0" xfId="3" applyNumberFormat="1" applyFont="1" applyFill="1" applyAlignment="1">
      <alignment vertical="center"/>
    </xf>
    <xf numFmtId="3" fontId="7" fillId="13" borderId="1" xfId="0" applyNumberFormat="1" applyFont="1" applyFill="1" applyBorder="1"/>
    <xf numFmtId="164" fontId="8" fillId="13" borderId="0" xfId="0" applyNumberFormat="1" applyFont="1" applyFill="1"/>
    <xf numFmtId="164" fontId="7" fillId="13" borderId="1" xfId="3" applyNumberFormat="1" applyFont="1" applyFill="1" applyBorder="1" applyAlignment="1">
      <alignment vertical="center"/>
    </xf>
    <xf numFmtId="0" fontId="1" fillId="13" borderId="0" xfId="0" applyFont="1" applyFill="1"/>
    <xf numFmtId="0" fontId="1" fillId="13" borderId="0" xfId="0" applyFont="1" applyFill="1" applyAlignment="1">
      <alignment vertical="center"/>
    </xf>
    <xf numFmtId="0" fontId="7" fillId="13" borderId="2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3" fillId="13" borderId="0" xfId="0" applyFont="1" applyFill="1"/>
    <xf numFmtId="0" fontId="9" fillId="5" borderId="0" xfId="0" applyFont="1" applyFill="1"/>
    <xf numFmtId="167" fontId="9" fillId="5" borderId="0" xfId="1" applyNumberFormat="1" applyFont="1" applyFill="1"/>
    <xf numFmtId="9" fontId="9" fillId="5" borderId="0" xfId="2" applyFont="1" applyFill="1"/>
    <xf numFmtId="0" fontId="34" fillId="5" borderId="0" xfId="0" applyFont="1" applyFill="1"/>
    <xf numFmtId="167" fontId="3" fillId="5" borderId="0" xfId="0" applyNumberFormat="1" applyFont="1" applyFill="1"/>
    <xf numFmtId="9" fontId="1" fillId="0" borderId="0" xfId="2" applyFont="1"/>
    <xf numFmtId="164" fontId="8" fillId="13" borderId="0" xfId="3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10" fontId="8" fillId="2" borderId="0" xfId="2" applyNumberFormat="1" applyFont="1" applyFill="1" applyAlignment="1">
      <alignment vertical="center" wrapText="1"/>
    </xf>
    <xf numFmtId="0" fontId="1" fillId="13" borderId="0" xfId="0" applyFont="1" applyFill="1" applyAlignment="1">
      <alignment vertical="center" wrapText="1"/>
    </xf>
    <xf numFmtId="164" fontId="7" fillId="2" borderId="1" xfId="3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10" fontId="8" fillId="2" borderId="1" xfId="2" applyNumberFormat="1" applyFont="1" applyFill="1" applyBorder="1" applyAlignment="1">
      <alignment vertical="center" wrapText="1"/>
    </xf>
    <xf numFmtId="10" fontId="7" fillId="2" borderId="1" xfId="2" applyNumberFormat="1" applyFont="1" applyFill="1" applyBorder="1" applyAlignment="1">
      <alignment vertical="center" wrapText="1"/>
    </xf>
    <xf numFmtId="164" fontId="8" fillId="2" borderId="0" xfId="0" applyNumberFormat="1" applyFont="1" applyFill="1" applyAlignment="1">
      <alignment vertical="center" wrapText="1"/>
    </xf>
    <xf numFmtId="164" fontId="8" fillId="13" borderId="0" xfId="0" applyNumberFormat="1" applyFont="1" applyFill="1" applyAlignment="1">
      <alignment vertical="center" wrapText="1"/>
    </xf>
    <xf numFmtId="10" fontId="9" fillId="2" borderId="0" xfId="2" applyNumberFormat="1" applyFont="1" applyFill="1" applyAlignment="1">
      <alignment vertical="center" wrapText="1"/>
    </xf>
    <xf numFmtId="164" fontId="7" fillId="13" borderId="1" xfId="3" applyNumberFormat="1" applyFont="1" applyFill="1" applyBorder="1" applyAlignment="1">
      <alignment vertical="center" wrapText="1"/>
    </xf>
    <xf numFmtId="168" fontId="1" fillId="0" borderId="0" xfId="0" applyNumberFormat="1" applyFont="1"/>
    <xf numFmtId="0" fontId="1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64" fontId="9" fillId="2" borderId="0" xfId="3" applyNumberFormat="1" applyFont="1" applyFill="1" applyAlignment="1">
      <alignment vertical="center" wrapText="1"/>
    </xf>
    <xf numFmtId="3" fontId="45" fillId="2" borderId="2" xfId="0" applyNumberFormat="1" applyFont="1" applyFill="1" applyBorder="1"/>
    <xf numFmtId="167" fontId="15" fillId="0" borderId="0" xfId="0" applyNumberFormat="1" applyFont="1" applyAlignment="1">
      <alignment horizontal="center"/>
    </xf>
    <xf numFmtId="3" fontId="10" fillId="2" borderId="0" xfId="0" applyNumberFormat="1" applyFont="1" applyFill="1"/>
    <xf numFmtId="164" fontId="14" fillId="2" borderId="0" xfId="3" applyNumberFormat="1" applyFont="1" applyFill="1" applyAlignment="1">
      <alignment vertical="center"/>
    </xf>
    <xf numFmtId="9" fontId="9" fillId="2" borderId="0" xfId="2" applyFont="1" applyFill="1" applyBorder="1"/>
    <xf numFmtId="9" fontId="10" fillId="2" borderId="0" xfId="2" applyFont="1" applyFill="1" applyBorder="1"/>
    <xf numFmtId="9" fontId="9" fillId="2" borderId="7" xfId="2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quotePrefix="1" applyFont="1"/>
    <xf numFmtId="0" fontId="22" fillId="12" borderId="0" xfId="0" quotePrefix="1" applyFont="1" applyFill="1"/>
    <xf numFmtId="0" fontId="22" fillId="13" borderId="0" xfId="0" quotePrefix="1" applyFont="1" applyFill="1"/>
    <xf numFmtId="0" fontId="3" fillId="15" borderId="0" xfId="0" applyFont="1" applyFill="1"/>
    <xf numFmtId="16" fontId="7" fillId="13" borderId="2" xfId="0" quotePrefix="1" applyNumberFormat="1" applyFont="1" applyFill="1" applyBorder="1" applyAlignment="1">
      <alignment horizontal="center" vertical="center" wrapText="1"/>
    </xf>
    <xf numFmtId="0" fontId="44" fillId="12" borderId="1" xfId="0" quotePrefix="1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left"/>
    </xf>
    <xf numFmtId="0" fontId="1" fillId="8" borderId="0" xfId="0" applyFont="1" applyFill="1"/>
    <xf numFmtId="0" fontId="1" fillId="8" borderId="0" xfId="0" applyFont="1" applyFill="1" applyAlignment="1">
      <alignment vertical="center" wrapText="1"/>
    </xf>
    <xf numFmtId="164" fontId="10" fillId="8" borderId="1" xfId="3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164" fontId="10" fillId="8" borderId="1" xfId="3" applyNumberFormat="1" applyFont="1" applyFill="1" applyBorder="1" applyAlignment="1">
      <alignment vertical="center" wrapText="1"/>
    </xf>
    <xf numFmtId="164" fontId="10" fillId="8" borderId="1" xfId="3" applyNumberFormat="1" applyFont="1" applyFill="1" applyBorder="1" applyAlignment="1">
      <alignment wrapText="1"/>
    </xf>
    <xf numFmtId="3" fontId="10" fillId="8" borderId="1" xfId="0" applyNumberFormat="1" applyFont="1" applyFill="1" applyBorder="1"/>
    <xf numFmtId="9" fontId="10" fillId="8" borderId="1" xfId="2" applyFont="1" applyFill="1" applyBorder="1"/>
    <xf numFmtId="3" fontId="9" fillId="8" borderId="1" xfId="0" applyNumberFormat="1" applyFont="1" applyFill="1" applyBorder="1"/>
    <xf numFmtId="9" fontId="9" fillId="8" borderId="1" xfId="2" applyFont="1" applyFill="1" applyBorder="1"/>
    <xf numFmtId="164" fontId="9" fillId="8" borderId="0" xfId="3" applyNumberFormat="1" applyFont="1" applyFill="1" applyAlignment="1">
      <alignment wrapText="1"/>
    </xf>
    <xf numFmtId="10" fontId="9" fillId="8" borderId="0" xfId="2" applyNumberFormat="1" applyFont="1" applyFill="1" applyAlignment="1">
      <alignment horizontal="right" wrapText="1"/>
    </xf>
    <xf numFmtId="166" fontId="9" fillId="8" borderId="0" xfId="3" applyNumberFormat="1" applyFont="1" applyFill="1" applyAlignment="1">
      <alignment horizontal="right" wrapText="1"/>
    </xf>
    <xf numFmtId="9" fontId="9" fillId="8" borderId="0" xfId="2" applyFont="1" applyFill="1" applyAlignment="1">
      <alignment horizontal="right" wrapText="1"/>
    </xf>
    <xf numFmtId="164" fontId="9" fillId="8" borderId="0" xfId="3" applyNumberFormat="1" applyFont="1" applyFill="1" applyAlignment="1">
      <alignment horizontal="right" wrapText="1"/>
    </xf>
    <xf numFmtId="167" fontId="11" fillId="8" borderId="0" xfId="1" applyNumberFormat="1" applyFont="1" applyFill="1" applyAlignment="1">
      <alignment horizontal="center" wrapText="1"/>
    </xf>
    <xf numFmtId="164" fontId="39" fillId="8" borderId="0" xfId="5" applyNumberFormat="1" applyFont="1" applyFill="1" applyAlignment="1">
      <alignment wrapText="1"/>
    </xf>
    <xf numFmtId="0" fontId="22" fillId="8" borderId="0" xfId="0" applyFont="1" applyFill="1"/>
    <xf numFmtId="164" fontId="9" fillId="8" borderId="0" xfId="3" applyNumberFormat="1" applyFont="1" applyFill="1" applyAlignment="1">
      <alignment vertical="center"/>
    </xf>
    <xf numFmtId="164" fontId="10" fillId="8" borderId="0" xfId="3" applyNumberFormat="1" applyFont="1" applyFill="1" applyAlignment="1">
      <alignment vertical="center"/>
    </xf>
    <xf numFmtId="0" fontId="48" fillId="0" borderId="0" xfId="0" applyFont="1"/>
    <xf numFmtId="43" fontId="1" fillId="0" borderId="0" xfId="1" applyFont="1"/>
    <xf numFmtId="14" fontId="47" fillId="0" borderId="8" xfId="0" applyNumberFormat="1" applyFont="1" applyBorder="1" applyAlignment="1">
      <alignment horizontal="right" vertical="center"/>
    </xf>
    <xf numFmtId="3" fontId="49" fillId="0" borderId="8" xfId="0" applyNumberFormat="1" applyFont="1" applyBorder="1" applyAlignment="1">
      <alignment horizontal="right" vertical="center"/>
    </xf>
    <xf numFmtId="170" fontId="46" fillId="0" borderId="0" xfId="1" applyNumberFormat="1" applyFont="1" applyAlignment="1">
      <alignment vertical="center"/>
    </xf>
    <xf numFmtId="170" fontId="50" fillId="0" borderId="4" xfId="1" applyNumberFormat="1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2" xfId="0" applyFont="1" applyBorder="1"/>
    <xf numFmtId="3" fontId="47" fillId="0" borderId="8" xfId="0" applyNumberFormat="1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4" fontId="47" fillId="7" borderId="8" xfId="0" applyNumberFormat="1" applyFont="1" applyFill="1" applyBorder="1" applyAlignment="1">
      <alignment horizontal="right" vertical="center"/>
    </xf>
    <xf numFmtId="0" fontId="48" fillId="7" borderId="0" xfId="0" applyFont="1" applyFill="1"/>
    <xf numFmtId="3" fontId="49" fillId="7" borderId="8" xfId="0" applyNumberFormat="1" applyFont="1" applyFill="1" applyBorder="1" applyAlignment="1">
      <alignment horizontal="right" vertical="center"/>
    </xf>
    <xf numFmtId="170" fontId="46" fillId="7" borderId="0" xfId="1" applyNumberFormat="1" applyFont="1" applyFill="1" applyAlignment="1">
      <alignment vertical="center"/>
    </xf>
    <xf numFmtId="170" fontId="50" fillId="7" borderId="4" xfId="1" applyNumberFormat="1" applyFont="1" applyFill="1" applyBorder="1" applyAlignment="1">
      <alignment vertical="center"/>
    </xf>
    <xf numFmtId="0" fontId="48" fillId="7" borderId="0" xfId="0" applyFont="1" applyFill="1" applyAlignment="1">
      <alignment horizontal="right" vertical="center" indent="2"/>
    </xf>
    <xf numFmtId="0" fontId="48" fillId="7" borderId="2" xfId="0" applyFont="1" applyFill="1" applyBorder="1"/>
    <xf numFmtId="3" fontId="47" fillId="7" borderId="8" xfId="0" applyNumberFormat="1" applyFont="1" applyFill="1" applyBorder="1" applyAlignment="1">
      <alignment horizontal="right" vertical="center"/>
    </xf>
    <xf numFmtId="0" fontId="19" fillId="13" borderId="0" xfId="5" applyFill="1" applyAlignment="1">
      <alignment horizontal="left" vertical="top" wrapText="1"/>
    </xf>
    <xf numFmtId="0" fontId="37" fillId="13" borderId="0" xfId="0" applyFont="1" applyFill="1" applyAlignment="1">
      <alignment horizontal="left" vertical="top" wrapText="1"/>
    </xf>
    <xf numFmtId="0" fontId="35" fillId="8" borderId="0" xfId="0" applyFont="1" applyFill="1" applyAlignment="1">
      <alignment horizontal="left"/>
    </xf>
    <xf numFmtId="0" fontId="21" fillId="14" borderId="0" xfId="0" applyFont="1" applyFill="1" applyAlignment="1">
      <alignment horizontal="left"/>
    </xf>
    <xf numFmtId="0" fontId="40" fillId="13" borderId="0" xfId="0" applyFont="1" applyFill="1" applyAlignment="1">
      <alignment horizontal="left" vertical="top" wrapText="1"/>
    </xf>
    <xf numFmtId="0" fontId="29" fillId="13" borderId="0" xfId="0" applyFont="1" applyFill="1" applyAlignment="1">
      <alignment horizontal="left" vertical="top" wrapText="1"/>
    </xf>
    <xf numFmtId="0" fontId="11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 wrapText="1"/>
    </xf>
    <xf numFmtId="0" fontId="14" fillId="13" borderId="0" xfId="0" applyFont="1" applyFill="1" applyAlignment="1">
      <alignment horizontal="left" vertical="top" wrapText="1"/>
    </xf>
    <xf numFmtId="0" fontId="16" fillId="12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44" fillId="12" borderId="1" xfId="2" applyNumberFormat="1" applyFont="1" applyFill="1" applyBorder="1" applyAlignment="1">
      <alignment horizontal="center" vertical="center" wrapText="1"/>
    </xf>
    <xf numFmtId="10" fontId="44" fillId="13" borderId="2" xfId="2" applyNumberFormat="1" applyFont="1" applyFill="1" applyBorder="1" applyAlignment="1">
      <alignment horizontal="center" vertical="center" wrapText="1"/>
    </xf>
    <xf numFmtId="10" fontId="44" fillId="13" borderId="4" xfId="2" applyNumberFormat="1" applyFont="1" applyFill="1" applyBorder="1" applyAlignment="1">
      <alignment horizontal="center" vertical="center" wrapText="1"/>
    </xf>
    <xf numFmtId="0" fontId="22" fillId="13" borderId="0" xfId="0" applyFont="1" applyFill="1" applyAlignment="1">
      <alignment horizontal="left"/>
    </xf>
    <xf numFmtId="164" fontId="7" fillId="13" borderId="2" xfId="3" applyNumberFormat="1" applyFont="1" applyFill="1" applyBorder="1" applyAlignment="1">
      <alignment horizontal="center" vertical="center" wrapText="1"/>
    </xf>
    <xf numFmtId="164" fontId="7" fillId="13" borderId="4" xfId="3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22" fillId="12" borderId="0" xfId="0" applyFont="1" applyFill="1" applyAlignment="1">
      <alignment horizontal="left"/>
    </xf>
    <xf numFmtId="0" fontId="22" fillId="8" borderId="0" xfId="0" applyFont="1" applyFill="1" applyAlignment="1">
      <alignment horizontal="left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41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</dxfs>
  <tableStyles count="0" defaultTableStyle="TableStyleMedium2" defaultPivotStyle="PivotStyleLight16"/>
  <colors>
    <mruColors>
      <color rgb="FFE92823"/>
      <color rgb="FFEF6663"/>
      <color rgb="FFFF3B0D"/>
      <color rgb="FFE1E5EB"/>
      <color rgb="FF71AF47"/>
      <color rgb="FF6FAB47"/>
      <color rgb="FFCDCDCD"/>
      <color rgb="FFAED395"/>
      <color rgb="FF95C575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Evolutia indicatorului "Venituri"</a:t>
            </a: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0.13594311042469931"/>
          <c:w val="0.96834461831348051"/>
          <c:h val="0.70027093414423736"/>
        </c:manualLayout>
      </c:layout>
      <c:lineChart>
        <c:grouping val="standard"/>
        <c:varyColors val="0"/>
        <c:ser>
          <c:idx val="1"/>
          <c:order val="0"/>
          <c:spPr>
            <a:ln w="12700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hiddenPage!$D$2:$F$2</c:f>
              <c:strCache>
                <c:ptCount val="3"/>
                <c:pt idx="0">
                  <c:v>6 luni 2021</c:v>
                </c:pt>
                <c:pt idx="1">
                  <c:v>6 luni 2022</c:v>
                </c:pt>
                <c:pt idx="2">
                  <c:v>6 luni 2023</c:v>
                </c:pt>
              </c:strCache>
            </c:strRef>
          </c:cat>
          <c:val>
            <c:numRef>
              <c:f>'3.Sit.Rezultatului Global'!$C$4:$E$4</c:f>
              <c:numCache>
                <c:formatCode>_(* #,##0_);_(* \(#,##0\);_(* "-"_);_(@_)</c:formatCode>
                <c:ptCount val="3"/>
                <c:pt idx="0">
                  <c:v>123293002</c:v>
                </c:pt>
                <c:pt idx="1">
                  <c:v>134652067</c:v>
                </c:pt>
                <c:pt idx="2">
                  <c:v>112276281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  <c:min val="35000000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2">
                    <a:lumMod val="75000"/>
                  </a:schemeClr>
                </a:solidFill>
                <a:latin typeface="Candara" panose="020E0502030303020204" pitchFamily="34" charset="0"/>
              </a:rPr>
              <a:t>Evolutia indicatorului Vanzari nete</a:t>
            </a:r>
            <a:endParaRPr lang="ro-RO" sz="120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0.29054614111197696"/>
          <c:y val="0"/>
        </c:manualLayout>
      </c:layout>
      <c:overlay val="0"/>
      <c:spPr>
        <a:solidFill>
          <a:schemeClr val="accent6">
            <a:lumMod val="40000"/>
            <a:lumOff val="60000"/>
          </a:schemeClr>
        </a:solidFill>
        <a:ln>
          <a:solidFill>
            <a:schemeClr val="tx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Snapshots!$C$5:$E$5</c:f>
              <c:numCache>
                <c:formatCode>_(* #,##0_);_(* \(#,##0\);_(* "-"_);_(@_)</c:formatCode>
                <c:ptCount val="3"/>
                <c:pt idx="0">
                  <c:v>123293002</c:v>
                </c:pt>
                <c:pt idx="1">
                  <c:v>134652067</c:v>
                </c:pt>
                <c:pt idx="2">
                  <c:v>112276281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4-4945-9B64-8F9084CC4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0.14569573529829552"/>
          <c:w val="0.91308389130785295"/>
          <c:h val="0.73931483412476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Snapshots!$B$8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Snapshots!$C$8:$E$8</c:f>
              <c:numCache>
                <c:formatCode>_(* #,##0_);_(* \(#,##0\);_(* "-"_);_(@_)</c:formatCode>
                <c:ptCount val="3"/>
                <c:pt idx="0">
                  <c:v>8650965</c:v>
                </c:pt>
                <c:pt idx="1">
                  <c:v>9117851</c:v>
                </c:pt>
                <c:pt idx="2">
                  <c:v>3986629.4800000191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B-439C-8C96-F8977C33D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4"/>
        <c:axId val="1053619087"/>
        <c:axId val="1180443935"/>
      </c:barChart>
      <c:barChart>
        <c:barDir val="col"/>
        <c:grouping val="clustered"/>
        <c:varyColors val="0"/>
        <c:ser>
          <c:idx val="1"/>
          <c:order val="1"/>
          <c:tx>
            <c:strRef>
              <c:f>Snapshots!$B$10</c:f>
              <c:strCache>
                <c:ptCount val="1"/>
                <c:pt idx="0">
                  <c:v>Profit net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909313366304875E-17"/>
                  <c:y val="7.7957255127669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5B-4936-9298-4C8D346EC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Snapshots!$C$10:$E$10</c:f>
              <c:numCache>
                <c:formatCode>_(* #,##0_);_(* \(#,##0\);_(* "-"_);_(@_)</c:formatCode>
                <c:ptCount val="3"/>
                <c:pt idx="0">
                  <c:v>3270977</c:v>
                </c:pt>
                <c:pt idx="1">
                  <c:v>4058675</c:v>
                </c:pt>
                <c:pt idx="2">
                  <c:v>5220906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6B-439C-8C96-F8977C33D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44"/>
        <c:axId val="1164413903"/>
        <c:axId val="1052069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053619087"/>
        <c:crosses val="autoZero"/>
        <c:crossBetween val="between"/>
      </c:valAx>
      <c:valAx>
        <c:axId val="1052069935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164413903"/>
        <c:crosses val="max"/>
        <c:crossBetween val="between"/>
      </c:valAx>
      <c:catAx>
        <c:axId val="1164413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069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655975327374997"/>
          <c:y val="3.1265867184154229E-2"/>
          <c:w val="0.41506896752444017"/>
          <c:h val="6.689877415512907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Structura indicatorului Active curente la  30 Iunie 2023</c:v>
            </c:pt>
          </c:strCache>
        </c:strRef>
      </c:tx>
      <c:layout>
        <c:manualLayout>
          <c:xMode val="edge"/>
          <c:yMode val="edge"/>
          <c:x val="0.33794243822970405"/>
          <c:y val="2.893308673129401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hiddenPage!$P$16</c:f>
                  <c:strCache>
                    <c:ptCount val="1"/>
                    <c:pt idx="0">
                      <c:v> 64.288.031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{9C35427A-F47C-4140-9968-8F0C31547B72}</c15:txfldGUID>
                      <c15:f>hiddenPage!$P$16</c15:f>
                      <c15:dlblFieldTableCache>
                        <c:ptCount val="1"/>
                        <c:pt idx="0">
                          <c:v> 64.288.031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hiddenPage!$P$17</c:f>
                  <c:strCache>
                    <c:ptCount val="1"/>
                    <c:pt idx="0">
                      <c:v> 28.417.526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{2523D2FD-0AC8-4D9B-AE73-B5097BA052BC}</c15:txfldGUID>
                      <c15:f>hiddenPage!$P$17</c15:f>
                      <c15:dlblFieldTableCache>
                        <c:ptCount val="1"/>
                        <c:pt idx="0">
                          <c:v> 28.417.526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hiddenPage!$P$18</c:f>
                  <c:strCache>
                    <c:ptCount val="1"/>
                    <c:pt idx="0">
                      <c:v> 10.305.284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{A35BAE08-B628-4B10-98AF-BADA9AAD7508}</c15:txfldGUID>
                      <c15:f>hiddenPage!$P$18</c15:f>
                      <c15:dlblFieldTableCache>
                        <c:ptCount val="1"/>
                        <c:pt idx="0">
                          <c:v> 10.305.284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hiddenPage!$P$19</c:f>
                  <c:strCache>
                    <c:ptCount val="1"/>
                    <c:pt idx="0">
                      <c:v> 3.278.665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{2EA976FE-DC00-406B-B259-78470A9C952B}</c15:txfldGUID>
                      <c15:f>hiddenPage!$P$19</c15:f>
                      <c15:dlblFieldTableCache>
                        <c:ptCount val="1"/>
                        <c:pt idx="0">
                          <c:v> 3.278.665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hiddenPage!$P$20</c:f>
                  <c:strCache>
                    <c:ptCount val="1"/>
                    <c:pt idx="0">
                      <c:v> 2.226.957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{5F649415-5D83-4088-89EC-928E33979386}</c15:txfldGUID>
                      <c15:f>hiddenPage!$P$20</c15:f>
                      <c15:dlblFieldTableCache>
                        <c:ptCount val="1"/>
                        <c:pt idx="0">
                          <c:v> 2.226.957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hiddenPage!$P$21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{8B5E3909-7685-42C7-A76D-58A271D0C190}</c15:txfldGUID>
                      <c15:f>hiddenPage!$P$21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hiddenPage!$M$16:$M$21</c:f>
              <c:strCache>
                <c:ptCount val="6"/>
                <c:pt idx="0">
                  <c:v>Creante comerciale si alte creante</c:v>
                </c:pt>
                <c:pt idx="1">
                  <c:v>Stocuri </c:v>
                </c:pt>
                <c:pt idx="2">
                  <c:v>Numerar si echivalente de numerar </c:v>
                </c:pt>
                <c:pt idx="3">
                  <c:v>Alte active financiare curente</c:v>
                </c:pt>
                <c:pt idx="4">
                  <c:v>Alte active nefinanciare curente</c:v>
                </c:pt>
                <c:pt idx="5">
                  <c:v>Active imobilizante detinute in vederea vanzarii</c:v>
                </c:pt>
              </c:strCache>
            </c:strRef>
          </c:cat>
          <c:val>
            <c:numRef>
              <c:f>hiddenPage!$Q$16:$Q$21</c:f>
              <c:numCache>
                <c:formatCode>0%</c:formatCode>
                <c:ptCount val="6"/>
                <c:pt idx="0">
                  <c:v>0.592426524259273</c:v>
                </c:pt>
                <c:pt idx="1">
                  <c:v>0.2618729473333461</c:v>
                </c:pt>
                <c:pt idx="2">
                  <c:v>9.4965166713920635E-2</c:v>
                </c:pt>
                <c:pt idx="3">
                  <c:v>3.0213526218597818E-2</c:v>
                </c:pt>
                <c:pt idx="4">
                  <c:v>2.0521835474862464E-2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69231592294646"/>
          <c:y val="7.7336560323994566E-2"/>
          <c:w val="0.52524016199789203"/>
          <c:h val="0.785092566651886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-6.8724887682527422E-2"/>
                  <c:y val="6.070125204145186E-2"/>
                </c:manualLayout>
              </c:layout>
              <c:spPr>
                <a:solidFill>
                  <a:schemeClr val="bg2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spc="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datorii</c:v>
                </c:pt>
                <c:pt idx="1">
                  <c:v>Total capitaluri</c:v>
                </c:pt>
              </c:strCache>
            </c:strRef>
          </c:cat>
          <c:val>
            <c:numRef>
              <c:f>hiddenPage!$G$10:$G$11</c:f>
              <c:numCache>
                <c:formatCode>#,##0\ [$lei-418];\-#,##0\ [$lei-418]</c:formatCode>
                <c:ptCount val="2"/>
                <c:pt idx="0">
                  <c:v>74256382</c:v>
                </c:pt>
                <c:pt idx="1">
                  <c:v>152237758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datorii curente vs. Total active curente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8947368421052631E-2"/>
          <c:y val="0.23189814814814816"/>
          <c:w val="0.94210526315789478"/>
          <c:h val="0.55479913969087202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datorii curente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hiddenPage!$D$3:$F$3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hiddenPage!$D$4:$F$4</c:f>
              <c:numCache>
                <c:formatCode>_-* #,##0_-;\-* #,##0_-;_-* "-"??_-;_-@_-</c:formatCode>
                <c:ptCount val="3"/>
                <c:pt idx="0">
                  <c:v>80427310</c:v>
                </c:pt>
                <c:pt idx="1">
                  <c:v>94013349</c:v>
                </c:pt>
                <c:pt idx="2">
                  <c:v>50867115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31-4C7B-B2F4-5C95A5147977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active curente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hiddenPage!$D$3:$F$3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hiddenPage!$D$5:$F$5</c:f>
              <c:numCache>
                <c:formatCode>_-* #,##0_-;\-* #,##0_-;_-* "-"??_-;_-@_-</c:formatCode>
                <c:ptCount val="3"/>
                <c:pt idx="0">
                  <c:v>92321417</c:v>
                </c:pt>
                <c:pt idx="1">
                  <c:v>113611789</c:v>
                </c:pt>
                <c:pt idx="2">
                  <c:v>108516463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1-4C7B-B2F4-5C95A5147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08095"/>
        <c:axId val="19202271"/>
      </c:lineChart>
      <c:catAx>
        <c:axId val="1920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9202271"/>
        <c:crosses val="autoZero"/>
        <c:auto val="1"/>
        <c:lblAlgn val="ctr"/>
        <c:lblOffset val="100"/>
        <c:noMultiLvlLbl val="0"/>
      </c:catAx>
      <c:valAx>
        <c:axId val="19202271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9208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datorii vs. Total capitaluri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9868118466749964E-2"/>
          <c:y val="0.13979936995417094"/>
          <c:w val="0.94026376306650006"/>
          <c:h val="0.64719725223208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datorii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BFF9646-3952-4C37-804E-8E4A6ABBBC7F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360-4721-A208-8D50B1FEBE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41814E9-3F7A-4E36-84A7-5F93107D89ED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360-4721-A208-8D50B1FEBE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042481E-65C8-427D-A66C-DB9668972471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360-4721-A208-8D50B1FEBE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hiddenPage!$D$9:$F$9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hiddenPage!$D$10:$F$10</c:f>
              <c:numCache>
                <c:formatCode>_-* #,##0_-;\-* #,##0_-;_-* "-"??_-;_-@_-</c:formatCode>
                <c:ptCount val="3"/>
                <c:pt idx="0">
                  <c:v>102626108</c:v>
                </c:pt>
                <c:pt idx="1">
                  <c:v>112991403</c:v>
                </c:pt>
                <c:pt idx="2">
                  <c:v>74256382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hiddenPage!$D$25:$F$25</c15:f>
                <c15:dlblRangeCache>
                  <c:ptCount val="3"/>
                  <c:pt idx="0">
                    <c:v>43%</c:v>
                  </c:pt>
                  <c:pt idx="1">
                    <c:v>45%</c:v>
                  </c:pt>
                  <c:pt idx="2">
                    <c:v>33%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4360-4721-A208-8D50B1FEBEA5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capitaluri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677EE21-C785-42EE-B9FE-AF08293180D0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360-4721-A208-8D50B1FEBE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0436D1F-B992-43E1-8D39-FB687D6140E0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360-4721-A208-8D50B1FEBE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270E5D4-3FEC-4DB5-B188-6F911215782C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360-4721-A208-8D50B1FEBE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hiddenPage!$D$9:$F$9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hiddenPage!$D$11:$F$11</c:f>
              <c:numCache>
                <c:formatCode>_-* #,##0_-;\-* #,##0_-;_-* "-"??_-;_-@_-</c:formatCode>
                <c:ptCount val="3"/>
                <c:pt idx="0">
                  <c:v>138842299</c:v>
                </c:pt>
                <c:pt idx="1">
                  <c:v>135562335</c:v>
                </c:pt>
                <c:pt idx="2">
                  <c:v>152237758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hiddenPage!$D$26:$F$26</c15:f>
                <c15:dlblRangeCache>
                  <c:ptCount val="3"/>
                  <c:pt idx="0">
                    <c:v>57%</c:v>
                  </c:pt>
                  <c:pt idx="1">
                    <c:v>55%</c:v>
                  </c:pt>
                  <c:pt idx="2">
                    <c:v>67%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4360-4721-A208-8D50B1FEB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100"/>
        <c:axId val="19191871"/>
        <c:axId val="19215583"/>
      </c:barChart>
      <c:scatterChart>
        <c:scatterStyle val="lineMarker"/>
        <c:varyColors val="0"/>
        <c:ser>
          <c:idx val="2"/>
          <c:order val="2"/>
          <c:tx>
            <c:strRef>
              <c:f>hiddenPage!$A$12</c:f>
              <c:strCache>
                <c:ptCount val="1"/>
                <c:pt idx="0">
                  <c:v>Total Capitaluri&amp;Datorii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hiddenPage!$D$12:$F$12</c:f>
              <c:numCache>
                <c:formatCode>_-* #,##0_-;\-* #,##0_-;_-* "-"??_-;_-@_-</c:formatCode>
                <c:ptCount val="3"/>
                <c:pt idx="0">
                  <c:v>241468407</c:v>
                </c:pt>
                <c:pt idx="1">
                  <c:v>248553738</c:v>
                </c:pt>
                <c:pt idx="2">
                  <c:v>226494140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60-4721-A208-8D50B1FEB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91871"/>
        <c:axId val="19215583"/>
      </c:scatterChart>
      <c:catAx>
        <c:axId val="191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9215583"/>
        <c:crosses val="autoZero"/>
        <c:auto val="1"/>
        <c:lblAlgn val="ctr"/>
        <c:lblOffset val="100"/>
        <c:noMultiLvlLbl val="0"/>
      </c:catAx>
      <c:valAx>
        <c:axId val="19215583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9191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hiddenPage!$A$34</c:f>
          <c:strCache>
            <c:ptCount val="1"/>
            <c:pt idx="0">
              <c:v>Evolutia indicatorului Active curente in perioada 2021 - 2023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570884296618019"/>
          <c:w val="0.93888888888888888"/>
          <c:h val="0.6298168371392379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hiddenPage!$D$15:$F$15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hiddenPage!$D$32:$F$32</c:f>
              <c:numCache>
                <c:formatCode>_-* #,##0_-;\-* #,##0_-;_-* "-"??_-;_-@_-</c:formatCode>
                <c:ptCount val="3"/>
                <c:pt idx="0">
                  <c:v>92321417</c:v>
                </c:pt>
                <c:pt idx="1">
                  <c:v>113611789</c:v>
                </c:pt>
                <c:pt idx="2">
                  <c:v>108516463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7-487E-A875-BE087212C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717807"/>
        <c:axId val="1692712399"/>
      </c:lineChart>
      <c:catAx>
        <c:axId val="169271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2">
              <a:lumMod val="90000"/>
            </a:schemeClr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692712399"/>
        <c:crosses val="autoZero"/>
        <c:auto val="1"/>
        <c:lblAlgn val="ctr"/>
        <c:lblOffset val="100"/>
        <c:noMultiLvlLbl val="0"/>
      </c:catAx>
      <c:valAx>
        <c:axId val="1692712399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69271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3.Sit.Rezultatului Global'!A1"/><Relationship Id="rId7" Type="http://schemas.openxmlformats.org/officeDocument/2006/relationships/hyperlink" Target="#'2.Pozitia Financiara-Comparatii'!A1"/><Relationship Id="rId2" Type="http://schemas.openxmlformats.org/officeDocument/2006/relationships/hyperlink" Target="#'1.Pozitia Financiara'!A1"/><Relationship Id="rId1" Type="http://schemas.openxmlformats.org/officeDocument/2006/relationships/hyperlink" Target="#Snapshots!A1"/><Relationship Id="rId6" Type="http://schemas.openxmlformats.org/officeDocument/2006/relationships/hyperlink" Target="#Grafice!A1"/><Relationship Id="rId5" Type="http://schemas.openxmlformats.org/officeDocument/2006/relationships/chart" Target="../charts/chart1.xml"/><Relationship Id="rId4" Type="http://schemas.openxmlformats.org/officeDocument/2006/relationships/hyperlink" Target="#'4.Indicatori Financiari'!A1"/><Relationship Id="rId9" Type="http://schemas.openxmlformats.org/officeDocument/2006/relationships/hyperlink" Target="#'4.Sit.Fluxurilor de numerar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uprins!A1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Cuprins!A1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338666</xdr:colOff>
      <xdr:row>0</xdr:row>
      <xdr:rowOff>123825</xdr:rowOff>
    </xdr:from>
    <xdr:to>
      <xdr:col>19</xdr:col>
      <xdr:colOff>600074</xdr:colOff>
      <xdr:row>4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26416" y="123825"/>
          <a:ext cx="6061075" cy="71437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CUPRINS</a:t>
          </a:r>
        </a:p>
      </xdr:txBody>
    </xdr:sp>
    <xdr:clientData/>
  </xdr:twoCellAnchor>
  <xdr:twoCellAnchor>
    <xdr:from>
      <xdr:col>20</xdr:col>
      <xdr:colOff>247651</xdr:colOff>
      <xdr:row>10</xdr:row>
      <xdr:rowOff>192618</xdr:rowOff>
    </xdr:from>
    <xdr:to>
      <xdr:col>23</xdr:col>
      <xdr:colOff>605367</xdr:colOff>
      <xdr:row>13</xdr:row>
      <xdr:rowOff>4235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9527118" y="2029885"/>
          <a:ext cx="2059516" cy="4974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INDICATORI CHEIE</a:t>
          </a:r>
        </a:p>
      </xdr:txBody>
    </xdr:sp>
    <xdr:clientData/>
  </xdr:twoCellAnchor>
  <xdr:twoCellAnchor>
    <xdr:from>
      <xdr:col>20</xdr:col>
      <xdr:colOff>247651</xdr:colOff>
      <xdr:row>13</xdr:row>
      <xdr:rowOff>78317</xdr:rowOff>
    </xdr:from>
    <xdr:to>
      <xdr:col>23</xdr:col>
      <xdr:colOff>605668</xdr:colOff>
      <xdr:row>15</xdr:row>
      <xdr:rowOff>138234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9527118" y="2601384"/>
          <a:ext cx="2059817" cy="483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POZITIA FINANCIARA</a:t>
          </a:r>
        </a:p>
      </xdr:txBody>
    </xdr:sp>
    <xdr:clientData/>
  </xdr:twoCellAnchor>
  <xdr:twoCellAnchor>
    <xdr:from>
      <xdr:col>24</xdr:col>
      <xdr:colOff>73026</xdr:colOff>
      <xdr:row>10</xdr:row>
      <xdr:rowOff>164039</xdr:rowOff>
    </xdr:from>
    <xdr:to>
      <xdr:col>27</xdr:col>
      <xdr:colOff>253242</xdr:colOff>
      <xdr:row>12</xdr:row>
      <xdr:rowOff>209139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1680826" y="2001306"/>
          <a:ext cx="2059816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REZULTATUL GLOBAL</a:t>
          </a:r>
        </a:p>
      </xdr:txBody>
    </xdr:sp>
    <xdr:clientData/>
  </xdr:twoCellAnchor>
  <xdr:twoCellAnchor>
    <xdr:from>
      <xdr:col>24</xdr:col>
      <xdr:colOff>73026</xdr:colOff>
      <xdr:row>13</xdr:row>
      <xdr:rowOff>48681</xdr:rowOff>
    </xdr:from>
    <xdr:to>
      <xdr:col>27</xdr:col>
      <xdr:colOff>253242</xdr:colOff>
      <xdr:row>15</xdr:row>
      <xdr:rowOff>127648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1680826" y="2571748"/>
          <a:ext cx="2059816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INDICATORI FINANCIARI</a:t>
          </a:r>
        </a:p>
      </xdr:txBody>
    </xdr:sp>
    <xdr:clientData/>
  </xdr:twoCellAnchor>
  <xdr:twoCellAnchor>
    <xdr:from>
      <xdr:col>7</xdr:col>
      <xdr:colOff>10583</xdr:colOff>
      <xdr:row>10</xdr:row>
      <xdr:rowOff>0</xdr:rowOff>
    </xdr:from>
    <xdr:to>
      <xdr:col>19</xdr:col>
      <xdr:colOff>603249</xdr:colOff>
      <xdr:row>19</xdr:row>
      <xdr:rowOff>169333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73026</xdr:colOff>
      <xdr:row>16</xdr:row>
      <xdr:rowOff>44450</xdr:rowOff>
    </xdr:from>
    <xdr:to>
      <xdr:col>27</xdr:col>
      <xdr:colOff>253242</xdr:colOff>
      <xdr:row>18</xdr:row>
      <xdr:rowOff>155167</xdr:rowOff>
    </xdr:to>
    <xdr:sp macro="" textlink="">
      <xdr:nvSpPr>
        <xdr:cNvPr id="14" name="Rectangle: Rounded Corners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1680826" y="3185583"/>
          <a:ext cx="2059816" cy="500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GRAFICE INTERACTIVE</a:t>
          </a:r>
        </a:p>
      </xdr:txBody>
    </xdr:sp>
    <xdr:clientData/>
  </xdr:twoCellAnchor>
  <xdr:twoCellAnchor>
    <xdr:from>
      <xdr:col>20</xdr:col>
      <xdr:colOff>247651</xdr:colOff>
      <xdr:row>16</xdr:row>
      <xdr:rowOff>52915</xdr:rowOff>
    </xdr:from>
    <xdr:to>
      <xdr:col>23</xdr:col>
      <xdr:colOff>605668</xdr:colOff>
      <xdr:row>18</xdr:row>
      <xdr:rowOff>123414</xdr:rowOff>
    </xdr:to>
    <xdr:sp macro="" textlink="">
      <xdr:nvSpPr>
        <xdr:cNvPr id="15" name="Rectangle: Rounded Corners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7559AA-8B6A-4607-8ADD-27FAA57BD49C}"/>
            </a:ext>
          </a:extLst>
        </xdr:cNvPr>
        <xdr:cNvSpPr/>
      </xdr:nvSpPr>
      <xdr:spPr>
        <a:xfrm>
          <a:off x="9527118" y="3194048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POZITIA FINANCIARA</a:t>
          </a:r>
        </a:p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COMPARATII</a:t>
          </a:r>
        </a:p>
      </xdr:txBody>
    </xdr:sp>
    <xdr:clientData/>
  </xdr:twoCellAnchor>
  <xdr:twoCellAnchor editAs="oneCell">
    <xdr:from>
      <xdr:col>15</xdr:col>
      <xdr:colOff>522817</xdr:colOff>
      <xdr:row>1</xdr:row>
      <xdr:rowOff>39158</xdr:rowOff>
    </xdr:from>
    <xdr:to>
      <xdr:col>19</xdr:col>
      <xdr:colOff>406401</xdr:colOff>
      <xdr:row>3</xdr:row>
      <xdr:rowOff>169121</xdr:rowOff>
    </xdr:to>
    <xdr:pic>
      <xdr:nvPicPr>
        <xdr:cNvPr id="12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E70DF81B-785C-4B71-9C22-E977B35463D3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1350" y="140758"/>
          <a:ext cx="2135717" cy="502496"/>
        </a:xfrm>
        <a:prstGeom prst="rect">
          <a:avLst/>
        </a:prstGeom>
      </xdr:spPr>
    </xdr:pic>
    <xdr:clientData/>
  </xdr:twoCellAnchor>
  <xdr:twoCellAnchor>
    <xdr:from>
      <xdr:col>20</xdr:col>
      <xdr:colOff>254000</xdr:colOff>
      <xdr:row>19</xdr:row>
      <xdr:rowOff>33868</xdr:rowOff>
    </xdr:from>
    <xdr:to>
      <xdr:col>23</xdr:col>
      <xdr:colOff>612016</xdr:colOff>
      <xdr:row>22</xdr:row>
      <xdr:rowOff>17585</xdr:rowOff>
    </xdr:to>
    <xdr:sp macro="" textlink="">
      <xdr:nvSpPr>
        <xdr:cNvPr id="16" name="Rectangle: Rounded Corners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8059D24-313C-45BB-864F-0D36A9700F18}"/>
            </a:ext>
          </a:extLst>
        </xdr:cNvPr>
        <xdr:cNvSpPr/>
      </xdr:nvSpPr>
      <xdr:spPr>
        <a:xfrm>
          <a:off x="9533467" y="3420535"/>
          <a:ext cx="2059816" cy="50018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FLUXURILE DE NUMERAR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0.00388</cdr:x>
      <cdr:y>0.00358</cdr:y>
    </cdr:from>
    <cdr:to>
      <cdr:x>0.064</cdr:x>
      <cdr:y>0.99283</cdr:y>
    </cdr:to>
    <cdr:sp macro="" textlink="hiddenPage!$G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4703868-6430-423F-B91A-49FE16074E33}"/>
            </a:ext>
          </a:extLst>
        </cdr:cNvPr>
        <cdr:cNvSpPr/>
      </cdr:nvSpPr>
      <cdr:spPr>
        <a:xfrm xmlns:a="http://schemas.openxmlformats.org/drawingml/2006/main" rot="16200000">
          <a:off x="-1093105" y="1120320"/>
          <a:ext cx="2503714" cy="28121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DC03476-6C94-4C4E-A806-5B1E217F0DAA}" type="TxLink">
            <a:rPr lang="en-US" sz="1100" b="1" i="0" u="none" strike="noStrike">
              <a:solidFill>
                <a:srgbClr val="000000"/>
              </a:solidFill>
              <a:latin typeface="Candara"/>
            </a:rPr>
            <a:pPr algn="ctr"/>
            <a:t>30 Iunie</a:t>
          </a:fld>
          <a:endParaRPr lang="en-GB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0.00317</cdr:x>
      <cdr:y>0.00539</cdr:y>
    </cdr:from>
    <cdr:to>
      <cdr:x>0.0709</cdr:x>
      <cdr:y>0.98738</cdr:y>
    </cdr:to>
    <cdr:sp macro="" textlink="hiddenPage!$G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C94E86E-5ABF-4BBA-B361-E0C65AF165C6}"/>
            </a:ext>
          </a:extLst>
        </cdr:cNvPr>
        <cdr:cNvSpPr/>
      </cdr:nvSpPr>
      <cdr:spPr>
        <a:xfrm xmlns:a="http://schemas.openxmlformats.org/drawingml/2006/main" rot="16200000">
          <a:off x="-1241993" y="1272001"/>
          <a:ext cx="2822653" cy="3096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3130F8D-1346-43FA-B078-6A2488A62721}" type="TxLink">
            <a:rPr lang="en-US" sz="1100" b="1" i="0" u="none" strike="noStrike">
              <a:solidFill>
                <a:srgbClr val="000000"/>
              </a:solidFill>
              <a:latin typeface="Candara"/>
            </a:rPr>
            <a:pPr algn="ctr"/>
            <a:t>30 Iunie</a:t>
          </a:fld>
          <a:endParaRPr lang="en-GB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655320</xdr:colOff>
      <xdr:row>0</xdr:row>
      <xdr:rowOff>45720</xdr:rowOff>
    </xdr:from>
    <xdr:to>
      <xdr:col>4</xdr:col>
      <xdr:colOff>817749</xdr:colOff>
      <xdr:row>1</xdr:row>
      <xdr:rowOff>119433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63216-2D1E-4B87-B1A0-95A7ED872C8C}"/>
            </a:ext>
          </a:extLst>
        </xdr:cNvPr>
        <xdr:cNvSpPr/>
      </xdr:nvSpPr>
      <xdr:spPr>
        <a:xfrm>
          <a:off x="8610600" y="45720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313266</xdr:colOff>
      <xdr:row>18</xdr:row>
      <xdr:rowOff>119804</xdr:rowOff>
    </xdr:from>
    <xdr:to>
      <xdr:col>18</xdr:col>
      <xdr:colOff>188808</xdr:colOff>
      <xdr:row>33</xdr:row>
      <xdr:rowOff>66041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61B0DD32-B83D-40AE-80DE-6614AAF9160E}"/>
            </a:ext>
          </a:extLst>
        </xdr:cNvPr>
        <xdr:cNvGrpSpPr/>
      </xdr:nvGrpSpPr>
      <xdr:grpSpPr>
        <a:xfrm>
          <a:off x="8634306" y="3464984"/>
          <a:ext cx="5110482" cy="2727537"/>
          <a:chOff x="7984067" y="2837603"/>
          <a:chExt cx="5158740" cy="2791037"/>
        </a:xfrm>
        <a:solidFill>
          <a:schemeClr val="accent6">
            <a:lumMod val="40000"/>
            <a:lumOff val="6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75D7D66F-898A-4D20-9EAF-1DE74597F787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182030AC-CDD7-4528-9E07-D3A5864C71D5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grpFill/>
          <a:ln>
            <a:solidFill>
              <a:schemeClr val="accent4">
                <a:lumMod val="20000"/>
                <a:lumOff val="8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K$20">
        <xdr:nvSpPr>
          <xdr:cNvPr id="7" name="Oval 6">
            <a:extLst>
              <a:ext uri="{FF2B5EF4-FFF2-40B4-BE49-F238E27FC236}">
                <a16:creationId xmlns:a16="http://schemas.microsoft.com/office/drawing/2014/main" id="{1B0180C3-D2BD-4C51-83D8-231A3F778E32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grpFill/>
          <a:ln>
            <a:solidFill>
              <a:schemeClr val="accent4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CEADEE9A-21C6-4C9C-9CDC-4702DCF315E1}" type="TxLink">
              <a:rPr lang="en-US" sz="1100" b="0" i="0" u="none" strike="noStrike">
                <a:solidFill>
                  <a:schemeClr val="tx2">
                    <a:lumMod val="75000"/>
                  </a:schemeClr>
                </a:solidFill>
                <a:latin typeface="Candara"/>
              </a:rPr>
              <a:pPr algn="ctr"/>
              <a:t>-9%</a:t>
            </a:fld>
            <a:endParaRPr lang="ro-RO" sz="100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9</xdr:col>
      <xdr:colOff>313266</xdr:colOff>
      <xdr:row>0</xdr:row>
      <xdr:rowOff>110067</xdr:rowOff>
    </xdr:from>
    <xdr:to>
      <xdr:col>18</xdr:col>
      <xdr:colOff>152400</xdr:colOff>
      <xdr:row>17</xdr:row>
      <xdr:rowOff>135466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04D9481-1F58-49FE-9D7E-C2E24276D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347133</xdr:colOff>
      <xdr:row>0</xdr:row>
      <xdr:rowOff>118533</xdr:rowOff>
    </xdr:from>
    <xdr:to>
      <xdr:col>7</xdr:col>
      <xdr:colOff>478236</xdr:colOff>
      <xdr:row>1</xdr:row>
      <xdr:rowOff>180393</xdr:rowOff>
    </xdr:to>
    <xdr:sp macro="" textlink="">
      <xdr:nvSpPr>
        <xdr:cNvPr id="8" name="Rectangle: Rounded Corner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80CF0B-D276-4DA1-9248-A21689F5120D}"/>
            </a:ext>
          </a:extLst>
        </xdr:cNvPr>
        <xdr:cNvSpPr/>
      </xdr:nvSpPr>
      <xdr:spPr>
        <a:xfrm>
          <a:off x="6858000" y="118533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59267</xdr:rowOff>
    </xdr:from>
    <xdr:to>
      <xdr:col>7</xdr:col>
      <xdr:colOff>503635</xdr:colOff>
      <xdr:row>1</xdr:row>
      <xdr:rowOff>129593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FECF17-FCE6-411F-BB88-49857FC89A29}"/>
            </a:ext>
          </a:extLst>
        </xdr:cNvPr>
        <xdr:cNvSpPr/>
      </xdr:nvSpPr>
      <xdr:spPr>
        <a:xfrm>
          <a:off x="9694333" y="59267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99060</xdr:rowOff>
    </xdr:from>
    <xdr:to>
      <xdr:col>11</xdr:col>
      <xdr:colOff>200529</xdr:colOff>
      <xdr:row>2</xdr:row>
      <xdr:rowOff>43233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1F25C9-6C41-485B-8D55-63AE4C35E44E}"/>
            </a:ext>
          </a:extLst>
        </xdr:cNvPr>
        <xdr:cNvSpPr/>
      </xdr:nvSpPr>
      <xdr:spPr>
        <a:xfrm>
          <a:off x="8724900" y="99060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320739</xdr:colOff>
      <xdr:row>0</xdr:row>
      <xdr:rowOff>69979</xdr:rowOff>
    </xdr:from>
    <xdr:to>
      <xdr:col>7</xdr:col>
      <xdr:colOff>396550</xdr:colOff>
      <xdr:row>1</xdr:row>
      <xdr:rowOff>139960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8FC92-C454-465D-A905-920CE108489D}"/>
            </a:ext>
          </a:extLst>
        </xdr:cNvPr>
        <xdr:cNvSpPr/>
      </xdr:nvSpPr>
      <xdr:spPr>
        <a:xfrm>
          <a:off x="7754127" y="69979"/>
          <a:ext cx="977770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333586</xdr:colOff>
      <xdr:row>0</xdr:row>
      <xdr:rowOff>50800</xdr:rowOff>
    </xdr:from>
    <xdr:to>
      <xdr:col>7</xdr:col>
      <xdr:colOff>115015</xdr:colOff>
      <xdr:row>1</xdr:row>
      <xdr:rowOff>124513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69DC18-E7AB-4448-8C8A-C72CABD5A329}"/>
            </a:ext>
          </a:extLst>
        </xdr:cNvPr>
        <xdr:cNvSpPr/>
      </xdr:nvSpPr>
      <xdr:spPr>
        <a:xfrm>
          <a:off x="11882119" y="50800"/>
          <a:ext cx="1000629" cy="26844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640080</xdr:colOff>
      <xdr:row>0</xdr:row>
      <xdr:rowOff>38100</xdr:rowOff>
    </xdr:from>
    <xdr:to>
      <xdr:col>5</xdr:col>
      <xdr:colOff>10029</xdr:colOff>
      <xdr:row>1</xdr:row>
      <xdr:rowOff>111813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D0EE3-2991-4AF6-950B-D4531A8D1985}"/>
            </a:ext>
          </a:extLst>
        </xdr:cNvPr>
        <xdr:cNvSpPr/>
      </xdr:nvSpPr>
      <xdr:spPr>
        <a:xfrm>
          <a:off x="8328660" y="38100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371984</xdr:colOff>
      <xdr:row>21</xdr:row>
      <xdr:rowOff>65630</xdr:rowOff>
    </xdr:from>
    <xdr:to>
      <xdr:col>13</xdr:col>
      <xdr:colOff>248578</xdr:colOff>
      <xdr:row>37</xdr:row>
      <xdr:rowOff>4647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22520</xdr:colOff>
      <xdr:row>2</xdr:row>
      <xdr:rowOff>122295</xdr:rowOff>
    </xdr:from>
    <xdr:to>
      <xdr:col>24</xdr:col>
      <xdr:colOff>332434</xdr:colOff>
      <xdr:row>18</xdr:row>
      <xdr:rowOff>50443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9B891F6-D198-4034-B4EE-32F753EFE76A}"/>
            </a:ext>
          </a:extLst>
        </xdr:cNvPr>
        <xdr:cNvGrpSpPr/>
      </xdr:nvGrpSpPr>
      <xdr:grpSpPr>
        <a:xfrm>
          <a:off x="10481877" y="403509"/>
          <a:ext cx="4065486" cy="2713077"/>
          <a:chOff x="10281421" y="392617"/>
          <a:chExt cx="4045573" cy="2780832"/>
        </a:xfrm>
        <a:solidFill>
          <a:schemeClr val="tx2">
            <a:lumMod val="20000"/>
            <a:lumOff val="8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C4D9CFA-FC60-46B9-B8B1-3D8486B2D320}"/>
              </a:ext>
            </a:extLst>
          </xdr:cNvPr>
          <xdr:cNvGraphicFramePr/>
        </xdr:nvGraphicFramePr>
        <xdr:xfrm>
          <a:off x="10281421" y="620590"/>
          <a:ext cx="4045573" cy="25528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hiddenPage!K1">
        <xdr:nvSpPr>
          <xdr:cNvPr id="12" name="Rectangle 11">
            <a:extLst>
              <a:ext uri="{FF2B5EF4-FFF2-40B4-BE49-F238E27FC236}">
                <a16:creationId xmlns:a16="http://schemas.microsoft.com/office/drawing/2014/main" id="{FF5D3A54-A3CC-46B4-93B8-C25DA7C5B204}"/>
              </a:ext>
            </a:extLst>
          </xdr:cNvPr>
          <xdr:cNvSpPr/>
        </xdr:nvSpPr>
        <xdr:spPr>
          <a:xfrm>
            <a:off x="10289323" y="392617"/>
            <a:ext cx="4037670" cy="172187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28DA392-A44F-4A17-B086-69126A1A6C15}" type="TxLink">
              <a:rPr lang="en-US" sz="1100" b="0" i="0" u="none" strike="noStrike">
                <a:solidFill>
                  <a:schemeClr val="bg1"/>
                </a:solidFill>
                <a:latin typeface="Candara"/>
              </a:rPr>
              <a:pPr algn="ctr"/>
              <a:t>Structura indicatorului Capitaluri&amp;Datorii in 2023</a:t>
            </a:fld>
            <a:endParaRPr lang="en-US" sz="10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22</xdr:col>
      <xdr:colOff>598715</xdr:colOff>
      <xdr:row>0</xdr:row>
      <xdr:rowOff>36286</xdr:rowOff>
    </xdr:from>
    <xdr:to>
      <xdr:col>24</xdr:col>
      <xdr:colOff>324627</xdr:colOff>
      <xdr:row>2</xdr:row>
      <xdr:rowOff>11665</xdr:rowOff>
    </xdr:to>
    <xdr:sp macro="" textlink="">
      <xdr:nvSpPr>
        <xdr:cNvPr id="14" name="Rectangle: Rounded Corners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17C64F-BEEC-4342-8500-3B9E49491D62}"/>
            </a:ext>
          </a:extLst>
        </xdr:cNvPr>
        <xdr:cNvSpPr/>
      </xdr:nvSpPr>
      <xdr:spPr>
        <a:xfrm>
          <a:off x="13407572" y="36286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  <xdr:twoCellAnchor>
    <xdr:from>
      <xdr:col>0</xdr:col>
      <xdr:colOff>383419</xdr:colOff>
      <xdr:row>4</xdr:row>
      <xdr:rowOff>36286</xdr:rowOff>
    </xdr:from>
    <xdr:to>
      <xdr:col>7</xdr:col>
      <xdr:colOff>471714</xdr:colOff>
      <xdr:row>17</xdr:row>
      <xdr:rowOff>154215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84FE2045-B1F1-4A24-AF16-B3DE86034106}"/>
            </a:ext>
          </a:extLst>
        </xdr:cNvPr>
        <xdr:cNvGrpSpPr/>
      </xdr:nvGrpSpPr>
      <xdr:grpSpPr>
        <a:xfrm>
          <a:off x="383419" y="562429"/>
          <a:ext cx="5059438" cy="2476500"/>
          <a:chOff x="383419" y="562429"/>
          <a:chExt cx="5059438" cy="2476500"/>
        </a:xfrm>
      </xdr:grpSpPr>
      <xdr:graphicFrame macro="">
        <xdr:nvGraphicFramePr>
          <xdr:cNvPr id="11" name="Chart 8">
            <a:extLst>
              <a:ext uri="{FF2B5EF4-FFF2-40B4-BE49-F238E27FC236}">
                <a16:creationId xmlns:a16="http://schemas.microsoft.com/office/drawing/2014/main" id="{0A1D34C2-BB45-4457-A654-D25A25946D8E}"/>
              </a:ext>
            </a:extLst>
          </xdr:cNvPr>
          <xdr:cNvGraphicFramePr/>
        </xdr:nvGraphicFramePr>
        <xdr:xfrm>
          <a:off x="383419" y="562429"/>
          <a:ext cx="5059438" cy="2476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hiddenPage!$G$1">
        <xdr:nvSpPr>
          <xdr:cNvPr id="16" name="Rectangle 15">
            <a:extLst>
              <a:ext uri="{FF2B5EF4-FFF2-40B4-BE49-F238E27FC236}">
                <a16:creationId xmlns:a16="http://schemas.microsoft.com/office/drawing/2014/main" id="{2325F2D6-338E-4CDE-BA8D-622D02243433}"/>
              </a:ext>
            </a:extLst>
          </xdr:cNvPr>
          <xdr:cNvSpPr/>
        </xdr:nvSpPr>
        <xdr:spPr>
          <a:xfrm rot="16200000">
            <a:off x="-668564" y="1644651"/>
            <a:ext cx="2442028" cy="310241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DCC5D88F-6CF7-49E4-811D-1895182C1CE9}" type="TxLink">
              <a:rPr lang="en-US" sz="1100" b="1" i="0" u="none" strike="noStrike">
                <a:solidFill>
                  <a:srgbClr val="000000"/>
                </a:solidFill>
                <a:latin typeface="Candara"/>
              </a:rPr>
              <a:pPr algn="ctr"/>
              <a:t>30 Iunie</a:t>
            </a:fld>
            <a:endParaRPr lang="en-GB" sz="105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45358</xdr:colOff>
      <xdr:row>3</xdr:row>
      <xdr:rowOff>63499</xdr:rowOff>
    </xdr:from>
    <xdr:to>
      <xdr:col>17</xdr:col>
      <xdr:colOff>114300</xdr:colOff>
      <xdr:row>17</xdr:row>
      <xdr:rowOff>172355</xdr:rowOff>
    </xdr:to>
    <xdr:graphicFrame macro="">
      <xdr:nvGraphicFramePr>
        <xdr:cNvPr id="18" name="Chart 9">
          <a:extLst>
            <a:ext uri="{FF2B5EF4-FFF2-40B4-BE49-F238E27FC236}">
              <a16:creationId xmlns:a16="http://schemas.microsoft.com/office/drawing/2014/main" id="{44BDA9D9-8502-4504-83C6-94CF6361B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328990</xdr:colOff>
      <xdr:row>21</xdr:row>
      <xdr:rowOff>46566</xdr:rowOff>
    </xdr:from>
    <xdr:to>
      <xdr:col>21</xdr:col>
      <xdr:colOff>265490</xdr:colOff>
      <xdr:row>37</xdr:row>
      <xdr:rowOff>18142</xdr:rowOff>
    </xdr:to>
    <xdr:graphicFrame macro="">
      <xdr:nvGraphicFramePr>
        <xdr:cNvPr id="19" name="Chart 10">
          <a:extLst>
            <a:ext uri="{FF2B5EF4-FFF2-40B4-BE49-F238E27FC236}">
              <a16:creationId xmlns:a16="http://schemas.microsoft.com/office/drawing/2014/main" id="{B943AAB1-D210-4745-BD5D-3226F08879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0.85533</cdr:y>
    </cdr:from>
    <cdr:to>
      <cdr:x>0.58793</cdr:x>
      <cdr:y>0.9349</cdr:y>
    </cdr:to>
    <cdr:sp macro="" textlink="hiddenPage!$M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1905000" y="2252663"/>
          <a:ext cx="1343025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050" b="0" i="0" u="none" strike="noStrike">
              <a:solidFill>
                <a:schemeClr val="bg1"/>
              </a:solidFill>
              <a:latin typeface="Candara"/>
            </a:rPr>
            <a:pPr/>
            <a:t>Total  : 108,516,463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mcarbon.com/rapoarte-si-informari/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T31"/>
  <sheetViews>
    <sheetView showGridLines="0" tabSelected="1" zoomScale="90" zoomScaleNormal="90" workbookViewId="0">
      <selection activeCell="U29" sqref="U29"/>
    </sheetView>
  </sheetViews>
  <sheetFormatPr defaultColWidth="9.109375" defaultRowHeight="14.4" x14ac:dyDescent="0.3"/>
  <cols>
    <col min="1" max="1" width="5.33203125" style="89" customWidth="1"/>
    <col min="2" max="2" width="1.5546875" style="89" customWidth="1"/>
    <col min="3" max="4" width="1.6640625" style="89" customWidth="1"/>
    <col min="5" max="5" width="3.33203125" style="89" customWidth="1"/>
    <col min="6" max="6" width="0.5546875" style="89" customWidth="1"/>
    <col min="7" max="7" width="3.6640625" style="89" customWidth="1"/>
    <col min="8" max="8" width="11.33203125" style="89" customWidth="1"/>
    <col min="9" max="18" width="9.109375" style="89"/>
    <col min="19" max="19" width="5.44140625" style="89" customWidth="1"/>
    <col min="20" max="21" width="9.109375" style="89"/>
    <col min="22" max="22" width="8" style="89" customWidth="1"/>
    <col min="23" max="23" width="7.6640625" style="89" customWidth="1"/>
    <col min="24" max="16384" width="9.109375" style="89"/>
  </cols>
  <sheetData>
    <row r="1" spans="1:20" ht="8.25" customHeight="1" x14ac:dyDescent="0.3">
      <c r="A1" s="88"/>
      <c r="B1" s="88"/>
      <c r="C1" s="88"/>
      <c r="D1" s="88"/>
      <c r="E1" s="88"/>
      <c r="F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20" x14ac:dyDescent="0.3">
      <c r="B2" s="88"/>
      <c r="C2" s="88"/>
      <c r="D2" s="88"/>
      <c r="E2" s="88"/>
      <c r="F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20" x14ac:dyDescent="0.3">
      <c r="A3" s="88"/>
      <c r="B3" s="88"/>
      <c r="C3" s="88"/>
      <c r="D3" s="88"/>
      <c r="E3" s="88"/>
      <c r="F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20" x14ac:dyDescent="0.3">
      <c r="A4" s="88"/>
      <c r="B4" s="88"/>
      <c r="C4" s="88"/>
      <c r="D4" s="88"/>
      <c r="E4" s="88"/>
      <c r="F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20" ht="9.75" customHeight="1" x14ac:dyDescent="0.3">
      <c r="A5" s="88"/>
      <c r="B5" s="88"/>
      <c r="C5" s="88"/>
      <c r="D5" s="88"/>
      <c r="E5" s="90"/>
      <c r="F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20" ht="6" customHeight="1" x14ac:dyDescent="0.3">
      <c r="A6" s="88"/>
      <c r="B6" s="88"/>
      <c r="C6" s="88"/>
      <c r="D6" s="88"/>
      <c r="E6" s="90"/>
      <c r="F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20" ht="9.6" customHeight="1" x14ac:dyDescent="0.3">
      <c r="A7" s="91"/>
    </row>
    <row r="8" spans="1:20" ht="21" x14ac:dyDescent="0.4">
      <c r="H8" s="211" t="str">
        <f>"SITUATII FINANCIARE INDIVIDUALE  (IFRS - EU)"&amp;" - Semestrul1"</f>
        <v>SITUATII FINANCIARE INDIVIDUALE  (IFRS - EU) - Semestrul1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</row>
    <row r="9" spans="1:20" ht="12.75" customHeight="1" x14ac:dyDescent="0.45"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</row>
    <row r="10" spans="1:20" ht="7.5" customHeight="1" x14ac:dyDescent="0.45"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</row>
    <row r="11" spans="1:20" ht="18" x14ac:dyDescent="0.35">
      <c r="I11" s="92"/>
      <c r="J11" s="92"/>
      <c r="K11" s="92"/>
      <c r="L11" s="92"/>
      <c r="M11" s="92"/>
      <c r="N11" s="92"/>
      <c r="O11" s="92"/>
      <c r="P11" s="93"/>
      <c r="Q11" s="92"/>
      <c r="R11" s="92"/>
      <c r="S11" s="93"/>
      <c r="T11" s="94"/>
    </row>
    <row r="12" spans="1:20" ht="18" x14ac:dyDescent="0.35">
      <c r="I12" s="92"/>
      <c r="J12" s="92"/>
      <c r="K12" s="92"/>
      <c r="L12" s="92"/>
      <c r="M12" s="92"/>
      <c r="N12" s="92"/>
      <c r="O12" s="92"/>
      <c r="P12" s="92"/>
      <c r="S12" s="95"/>
      <c r="T12" s="95"/>
    </row>
    <row r="13" spans="1:20" ht="18" x14ac:dyDescent="0.35">
      <c r="I13" s="92"/>
      <c r="J13" s="92"/>
      <c r="K13" s="92"/>
      <c r="L13" s="92"/>
      <c r="M13" s="92"/>
      <c r="N13" s="92"/>
      <c r="O13" s="92"/>
      <c r="P13" s="92"/>
      <c r="S13" s="95"/>
      <c r="T13" s="95"/>
    </row>
    <row r="14" spans="1:20" ht="18" x14ac:dyDescent="0.35">
      <c r="I14" s="92"/>
      <c r="J14" s="92"/>
      <c r="K14" s="92"/>
      <c r="L14" s="92"/>
      <c r="M14" s="92"/>
      <c r="N14" s="92"/>
      <c r="O14" s="92"/>
      <c r="P14" s="92"/>
      <c r="S14" s="92"/>
      <c r="T14" s="94"/>
    </row>
    <row r="15" spans="1:20" ht="15" customHeight="1" x14ac:dyDescent="0.35">
      <c r="I15" s="92"/>
      <c r="J15" s="92"/>
      <c r="K15" s="92"/>
      <c r="L15" s="92"/>
      <c r="M15" s="92"/>
      <c r="N15" s="92"/>
      <c r="O15" s="92"/>
      <c r="P15" s="92"/>
      <c r="S15" s="92"/>
      <c r="T15" s="94"/>
    </row>
    <row r="16" spans="1:20" ht="15" customHeight="1" x14ac:dyDescent="0.35">
      <c r="I16" s="92"/>
      <c r="J16" s="92"/>
      <c r="K16" s="92"/>
      <c r="L16" s="92"/>
      <c r="M16" s="92"/>
      <c r="N16" s="92"/>
      <c r="O16" s="92"/>
      <c r="P16" s="92"/>
      <c r="S16" s="92"/>
      <c r="T16" s="94"/>
    </row>
    <row r="17" spans="8:20" ht="15" customHeight="1" x14ac:dyDescent="0.35">
      <c r="I17" s="92"/>
      <c r="J17" s="92"/>
      <c r="K17" s="92"/>
      <c r="L17" s="92"/>
      <c r="M17" s="92"/>
      <c r="N17" s="92"/>
      <c r="O17" s="92"/>
      <c r="P17" s="92"/>
      <c r="S17" s="92"/>
      <c r="T17" s="94"/>
    </row>
    <row r="18" spans="8:20" ht="15" customHeight="1" x14ac:dyDescent="0.35">
      <c r="I18" s="92"/>
      <c r="J18" s="92"/>
      <c r="K18" s="92"/>
      <c r="L18" s="92"/>
      <c r="M18" s="92"/>
      <c r="N18" s="92"/>
      <c r="O18" s="92"/>
      <c r="P18" s="92"/>
      <c r="S18" s="92"/>
      <c r="T18" s="94"/>
    </row>
    <row r="19" spans="8:20" ht="15" customHeight="1" x14ac:dyDescent="0.35"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94"/>
    </row>
    <row r="20" spans="8:20" ht="15" customHeight="1" x14ac:dyDescent="0.35"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3"/>
      <c r="T20" s="94"/>
    </row>
    <row r="21" spans="8:20" ht="10.199999999999999" customHeight="1" x14ac:dyDescent="0.35"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3"/>
      <c r="T21" s="94"/>
    </row>
    <row r="22" spans="8:20" ht="15" customHeight="1" x14ac:dyDescent="0.3">
      <c r="H22" s="217" t="s">
        <v>118</v>
      </c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</row>
    <row r="23" spans="8:20" ht="15" customHeight="1" x14ac:dyDescent="0.3">
      <c r="H23" s="215" t="s">
        <v>119</v>
      </c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</row>
    <row r="24" spans="8:20" ht="15" customHeight="1" x14ac:dyDescent="0.3">
      <c r="H24" s="218" t="s">
        <v>120</v>
      </c>
      <c r="I24" s="218"/>
      <c r="J24" s="218"/>
      <c r="K24" s="218"/>
      <c r="L24" s="218"/>
      <c r="M24" s="218"/>
      <c r="N24" s="218"/>
      <c r="O24" s="218"/>
      <c r="P24" s="218"/>
      <c r="Q24" s="218"/>
      <c r="R24" s="96"/>
      <c r="S24" s="96"/>
      <c r="T24" s="96"/>
    </row>
    <row r="25" spans="8:20" ht="4.2" customHeight="1" x14ac:dyDescent="0.3"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8:20" ht="15" customHeight="1" x14ac:dyDescent="0.3">
      <c r="H26" s="214"/>
      <c r="I26" s="214"/>
      <c r="J26" s="214"/>
      <c r="K26" s="214"/>
      <c r="L26" s="214"/>
      <c r="M26" s="214"/>
      <c r="N26" s="214"/>
      <c r="O26" s="98"/>
      <c r="P26" s="99"/>
      <c r="Q26" s="213" t="s">
        <v>121</v>
      </c>
      <c r="R26" s="213"/>
      <c r="S26" s="213"/>
      <c r="T26" s="213"/>
    </row>
    <row r="27" spans="8:20" ht="15" customHeight="1" x14ac:dyDescent="0.3">
      <c r="H27" s="214"/>
      <c r="I27" s="214"/>
      <c r="J27" s="214"/>
      <c r="K27" s="214"/>
      <c r="L27" s="214"/>
      <c r="M27" s="214"/>
      <c r="N27" s="214"/>
      <c r="O27" s="100"/>
      <c r="P27" s="101"/>
      <c r="Q27" s="213" t="s">
        <v>122</v>
      </c>
      <c r="R27" s="213"/>
      <c r="S27" s="213"/>
      <c r="T27" s="213"/>
    </row>
    <row r="28" spans="8:20" x14ac:dyDescent="0.3">
      <c r="H28" s="102"/>
      <c r="I28" s="102"/>
      <c r="J28" s="102"/>
      <c r="K28" s="102"/>
      <c r="L28" s="102"/>
      <c r="M28" s="102"/>
      <c r="N28" s="102"/>
      <c r="O28" s="103"/>
      <c r="P28" s="104"/>
      <c r="Q28" s="213" t="s">
        <v>123</v>
      </c>
      <c r="R28" s="213"/>
      <c r="S28" s="213"/>
      <c r="T28" s="213"/>
    </row>
    <row r="29" spans="8:20" ht="15" customHeight="1" x14ac:dyDescent="0.3">
      <c r="H29" s="102"/>
      <c r="I29" s="102"/>
      <c r="J29" s="102"/>
      <c r="K29" s="102"/>
      <c r="L29" s="102"/>
      <c r="M29" s="102"/>
      <c r="N29" s="102"/>
      <c r="O29" s="103"/>
      <c r="P29" s="104"/>
      <c r="Q29" s="105" t="s">
        <v>87</v>
      </c>
      <c r="R29" s="105"/>
      <c r="S29" s="105"/>
      <c r="T29" s="105"/>
    </row>
    <row r="30" spans="8:20" ht="14.4" customHeight="1" x14ac:dyDescent="0.3">
      <c r="H30" s="102"/>
      <c r="I30" s="102"/>
      <c r="J30" s="102"/>
      <c r="K30" s="102"/>
      <c r="L30" s="102"/>
      <c r="M30" s="102"/>
      <c r="N30" s="102"/>
      <c r="O30" s="103"/>
      <c r="P30" s="104"/>
      <c r="Q30" s="209" t="s">
        <v>98</v>
      </c>
      <c r="R30" s="209"/>
      <c r="S30" s="209"/>
      <c r="T30" s="209"/>
    </row>
    <row r="31" spans="8:20" x14ac:dyDescent="0.3">
      <c r="H31" s="102"/>
      <c r="I31" s="102"/>
      <c r="J31" s="102"/>
      <c r="K31" s="102"/>
      <c r="L31" s="102"/>
      <c r="M31" s="102"/>
      <c r="N31" s="102"/>
      <c r="O31" s="103"/>
      <c r="P31" s="104"/>
      <c r="Q31" s="210" t="s">
        <v>88</v>
      </c>
      <c r="R31" s="210"/>
      <c r="S31" s="210"/>
      <c r="T31" s="210"/>
    </row>
  </sheetData>
  <mergeCells count="13">
    <mergeCell ref="Q30:T30"/>
    <mergeCell ref="Q31:T31"/>
    <mergeCell ref="H8:T8"/>
    <mergeCell ref="H10:T10"/>
    <mergeCell ref="Q27:T27"/>
    <mergeCell ref="H26:N26"/>
    <mergeCell ref="H27:N27"/>
    <mergeCell ref="H23:T23"/>
    <mergeCell ref="H22:T22"/>
    <mergeCell ref="Q26:T26"/>
    <mergeCell ref="H24:Q24"/>
    <mergeCell ref="H9:T9"/>
    <mergeCell ref="Q28:T28"/>
  </mergeCells>
  <hyperlinks>
    <hyperlink ref="Q30" r:id="rId1" xr:uid="{71673C88-5463-4161-83CF-CD9CF893B618}"/>
    <hyperlink ref="Q31" r:id="rId2" xr:uid="{82F5B292-7BE3-40E1-A66D-AB909AD3CE02}"/>
    <hyperlink ref="Q30:T30" r:id="rId3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H20" sqref="H20"/>
    </sheetView>
  </sheetViews>
  <sheetFormatPr defaultColWidth="9.109375" defaultRowHeight="14.4" x14ac:dyDescent="0.3"/>
  <cols>
    <col min="1" max="2" width="40.109375" style="1" customWidth="1"/>
    <col min="3" max="4" width="11.88671875" style="1" bestFit="1" customWidth="1"/>
    <col min="5" max="5" width="12" style="1" bestFit="1" customWidth="1"/>
    <col min="6" max="16384" width="9.109375" style="1"/>
  </cols>
  <sheetData>
    <row r="2" spans="1:5" ht="15" thickBot="1" x14ac:dyDescent="0.35"/>
    <row r="3" spans="1:5" s="34" customFormat="1" ht="21.75" customHeight="1" thickBot="1" x14ac:dyDescent="0.35">
      <c r="A3" s="170" t="s">
        <v>0</v>
      </c>
      <c r="B3" s="170" t="s">
        <v>0</v>
      </c>
      <c r="C3" s="172">
        <f>Data_Interim!H3</f>
        <v>2021</v>
      </c>
      <c r="D3" s="172">
        <f>Data_Interim!I3</f>
        <v>2022</v>
      </c>
      <c r="E3" s="172">
        <f>Data_Interim!J3</f>
        <v>2023</v>
      </c>
    </row>
    <row r="4" spans="1:5" x14ac:dyDescent="0.3">
      <c r="A4" s="14" t="s">
        <v>75</v>
      </c>
      <c r="B4" s="14" t="s">
        <v>82</v>
      </c>
      <c r="C4" s="14">
        <f>'3.Sit.Rezultatului Global'!C17</f>
        <v>3270977</v>
      </c>
      <c r="D4" s="14">
        <f>'3.Sit.Rezultatului Global'!D17</f>
        <v>4058675</v>
      </c>
      <c r="E4" s="187">
        <f>'3.Sit.Rezultatului Global'!E17</f>
        <v>5220906</v>
      </c>
    </row>
    <row r="5" spans="1:5" x14ac:dyDescent="0.3">
      <c r="A5" s="14" t="s">
        <v>76</v>
      </c>
      <c r="B5" s="14" t="s">
        <v>83</v>
      </c>
      <c r="C5" s="14">
        <f>-'3.Sit.Rezultatului Global'!C16</f>
        <v>523739</v>
      </c>
      <c r="D5" s="14">
        <f>-'3.Sit.Rezultatului Global'!D16</f>
        <v>719096</v>
      </c>
      <c r="E5" s="187">
        <f>-'3.Sit.Rezultatului Global'!E16</f>
        <v>774565</v>
      </c>
    </row>
    <row r="6" spans="1:5" x14ac:dyDescent="0.3">
      <c r="A6" s="14" t="s">
        <v>77</v>
      </c>
      <c r="B6" s="14" t="s">
        <v>84</v>
      </c>
      <c r="C6" s="14">
        <f>SUMIF(Data_Interim!$C:$C,$B6,Data_Interim!H:H)</f>
        <v>474029</v>
      </c>
      <c r="D6" s="14">
        <f>SUMIF(Data_Interim!$C:$C,$B6,Data_Interim!I:I)</f>
        <v>568808</v>
      </c>
      <c r="E6" s="187">
        <f>SUMIF(Data_Interim!$C:$C,$B6,Data_Interim!J:J)</f>
        <v>900399</v>
      </c>
    </row>
    <row r="7" spans="1:5" x14ac:dyDescent="0.3">
      <c r="A7" s="29" t="s">
        <v>69</v>
      </c>
      <c r="B7" s="29" t="s">
        <v>69</v>
      </c>
      <c r="C7" s="29">
        <f>C4+C5+C6</f>
        <v>4268745</v>
      </c>
      <c r="D7" s="29">
        <f>D4+D5+D6</f>
        <v>5346579</v>
      </c>
      <c r="E7" s="188">
        <f>E4+E5+E6</f>
        <v>6895870</v>
      </c>
    </row>
    <row r="8" spans="1:5" x14ac:dyDescent="0.3">
      <c r="A8" s="14" t="s">
        <v>78</v>
      </c>
      <c r="B8" s="14" t="s">
        <v>85</v>
      </c>
      <c r="C8" s="14">
        <f>SUMIF(Data_Interim!$C:$C,$B8,Data_Interim!H:H)</f>
        <v>4999169</v>
      </c>
      <c r="D8" s="14">
        <f>SUMIF(Data_Interim!$C:$C,$B8,Data_Interim!I:I)</f>
        <v>4904747</v>
      </c>
      <c r="E8" s="187">
        <f>SUMIF(Data_Interim!$C:$C,$B8,Data_Interim!J:J)</f>
        <v>4745999</v>
      </c>
    </row>
    <row r="9" spans="1:5" x14ac:dyDescent="0.3">
      <c r="A9" s="14" t="s">
        <v>79</v>
      </c>
      <c r="B9" s="14" t="s">
        <v>86</v>
      </c>
      <c r="C9" s="14">
        <f>SUMIF(Data_Interim!$C:$C,$B9,Data_Interim!H:H)</f>
        <v>1129725</v>
      </c>
      <c r="D9" s="14">
        <f>SUMIF(Data_Interim!$C:$C,$B9,Data_Interim!I:I)</f>
        <v>1129725</v>
      </c>
      <c r="E9" s="187">
        <f>SUMIF(Data_Interim!$C:$C,$B9,Data_Interim!J:J)</f>
        <v>1056989</v>
      </c>
    </row>
    <row r="10" spans="1:5" x14ac:dyDescent="0.3">
      <c r="A10" s="29" t="s">
        <v>45</v>
      </c>
      <c r="B10" s="29" t="s">
        <v>45</v>
      </c>
      <c r="C10" s="29">
        <f>C7+C8-C9</f>
        <v>8138189</v>
      </c>
      <c r="D10" s="29">
        <f>D7+D8-D9</f>
        <v>9121601</v>
      </c>
      <c r="E10" s="188">
        <f>E7+E8-E9</f>
        <v>10584880</v>
      </c>
    </row>
    <row r="12" spans="1:5" x14ac:dyDescent="0.3">
      <c r="A12" s="1" t="s">
        <v>133</v>
      </c>
    </row>
    <row r="15" spans="1:5" x14ac:dyDescent="0.3">
      <c r="A15" s="1" t="s">
        <v>41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F153-CB02-4A39-8F9E-FA46FFDA5D0D}">
  <dimension ref="A3:S220"/>
  <sheetViews>
    <sheetView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H4" sqref="H4:J67"/>
    </sheetView>
  </sheetViews>
  <sheetFormatPr defaultColWidth="8.88671875" defaultRowHeight="14.4" x14ac:dyDescent="0.3"/>
  <cols>
    <col min="1" max="1" width="11.109375" style="47" bestFit="1" customWidth="1"/>
    <col min="2" max="2" width="80.6640625" style="47" bestFit="1" customWidth="1"/>
    <col min="3" max="3" width="33.88671875" style="47" customWidth="1"/>
    <col min="4" max="4" width="6" style="47" customWidth="1"/>
    <col min="5" max="5" width="4.109375" style="59" customWidth="1"/>
    <col min="6" max="8" width="13.109375" style="47" bestFit="1" customWidth="1"/>
    <col min="9" max="9" width="13.44140625" style="47" bestFit="1" customWidth="1"/>
    <col min="10" max="10" width="13.109375" style="47" bestFit="1" customWidth="1"/>
    <col min="11" max="14" width="8.88671875" style="47"/>
    <col min="15" max="15" width="11.44140625" style="47" customWidth="1"/>
    <col min="16" max="16" width="11.6640625" style="47" bestFit="1" customWidth="1"/>
    <col min="17" max="17" width="14.6640625" style="47" bestFit="1" customWidth="1"/>
    <col min="18" max="18" width="14.6640625" style="47" customWidth="1"/>
    <col min="19" max="19" width="8.88671875" style="47"/>
    <col min="20" max="20" width="6.33203125" style="47" customWidth="1"/>
    <col min="21" max="21" width="11.5546875" style="47" bestFit="1" customWidth="1"/>
    <col min="22" max="16384" width="8.88671875" style="47"/>
  </cols>
  <sheetData>
    <row r="3" spans="1:19" x14ac:dyDescent="0.3">
      <c r="A3" s="57"/>
      <c r="B3" s="57" t="s">
        <v>0</v>
      </c>
      <c r="C3" s="57" t="s">
        <v>0</v>
      </c>
      <c r="D3" s="57" t="s">
        <v>102</v>
      </c>
      <c r="F3" s="57"/>
      <c r="G3" s="57"/>
      <c r="H3" s="57">
        <v>2021</v>
      </c>
      <c r="I3" s="57">
        <v>2022</v>
      </c>
      <c r="J3" s="57">
        <v>2023</v>
      </c>
      <c r="O3" s="57" t="s">
        <v>101</v>
      </c>
      <c r="P3" s="57" t="s">
        <v>103</v>
      </c>
      <c r="Q3" s="57"/>
      <c r="R3" s="57"/>
      <c r="S3" s="57" t="s">
        <v>105</v>
      </c>
    </row>
    <row r="4" spans="1:19" x14ac:dyDescent="0.3">
      <c r="B4" s="47" t="s">
        <v>1</v>
      </c>
      <c r="C4" s="47" t="s">
        <v>2</v>
      </c>
      <c r="D4" s="47">
        <v>1</v>
      </c>
      <c r="F4" s="54"/>
      <c r="G4" s="54"/>
      <c r="H4" s="54">
        <v>109884863</v>
      </c>
      <c r="I4" s="54">
        <v>103204824</v>
      </c>
      <c r="J4" s="54">
        <v>107160000</v>
      </c>
      <c r="O4" s="47" t="s">
        <v>106</v>
      </c>
      <c r="P4" s="47" t="s">
        <v>109</v>
      </c>
      <c r="Q4" s="47" t="s">
        <v>112</v>
      </c>
      <c r="R4" s="47" t="s">
        <v>115</v>
      </c>
      <c r="S4" s="58">
        <v>90</v>
      </c>
    </row>
    <row r="5" spans="1:19" x14ac:dyDescent="0.3">
      <c r="B5" s="47" t="s">
        <v>3</v>
      </c>
      <c r="C5" s="47" t="s">
        <v>4</v>
      </c>
      <c r="D5" s="47">
        <v>1</v>
      </c>
      <c r="F5" s="54"/>
      <c r="G5" s="54"/>
      <c r="H5" s="54">
        <v>11885346</v>
      </c>
      <c r="I5" s="54">
        <v>10894586</v>
      </c>
      <c r="J5" s="54">
        <v>9883738</v>
      </c>
      <c r="O5" s="47" t="s">
        <v>108</v>
      </c>
      <c r="P5" s="47" t="s">
        <v>110</v>
      </c>
      <c r="Q5" s="47" t="s">
        <v>113</v>
      </c>
      <c r="R5" s="47" t="s">
        <v>116</v>
      </c>
      <c r="S5" s="58">
        <v>180</v>
      </c>
    </row>
    <row r="6" spans="1:19" x14ac:dyDescent="0.3">
      <c r="B6" s="47" t="s">
        <v>193</v>
      </c>
      <c r="C6" s="47" t="s">
        <v>150</v>
      </c>
      <c r="D6" s="47">
        <v>1</v>
      </c>
      <c r="F6" s="54"/>
      <c r="G6" s="54"/>
      <c r="H6" s="54">
        <v>291599</v>
      </c>
      <c r="I6" s="54">
        <v>233979</v>
      </c>
      <c r="J6" s="54">
        <v>473345</v>
      </c>
      <c r="O6" s="47" t="s">
        <v>107</v>
      </c>
      <c r="P6" s="47" t="s">
        <v>111</v>
      </c>
      <c r="Q6" s="47" t="s">
        <v>114</v>
      </c>
      <c r="R6" s="47" t="s">
        <v>117</v>
      </c>
      <c r="S6" s="58">
        <v>270</v>
      </c>
    </row>
    <row r="7" spans="1:19" x14ac:dyDescent="0.3">
      <c r="B7" s="47" t="s">
        <v>194</v>
      </c>
      <c r="C7" s="47" t="s">
        <v>151</v>
      </c>
      <c r="D7" s="47">
        <v>1</v>
      </c>
      <c r="F7" s="54"/>
      <c r="G7" s="54"/>
      <c r="H7" s="54">
        <v>27085182</v>
      </c>
      <c r="I7" s="54">
        <v>20608560</v>
      </c>
      <c r="J7" s="54">
        <v>460594</v>
      </c>
    </row>
    <row r="8" spans="1:19" x14ac:dyDescent="0.3">
      <c r="B8" s="47" t="s">
        <v>5</v>
      </c>
      <c r="C8" s="47" t="s">
        <v>6</v>
      </c>
      <c r="D8" s="47">
        <v>1</v>
      </c>
      <c r="F8" s="54"/>
      <c r="G8" s="54"/>
      <c r="H8" s="54">
        <v>149146990</v>
      </c>
      <c r="I8" s="54">
        <v>134941949</v>
      </c>
      <c r="J8" s="54">
        <v>117977677</v>
      </c>
    </row>
    <row r="9" spans="1:19" x14ac:dyDescent="0.3">
      <c r="B9" s="47" t="s">
        <v>195</v>
      </c>
      <c r="C9" s="47" t="s">
        <v>152</v>
      </c>
      <c r="D9" s="47">
        <v>1</v>
      </c>
      <c r="F9" s="54"/>
      <c r="G9" s="54"/>
      <c r="H9" s="54">
        <v>25369848</v>
      </c>
      <c r="I9" s="54">
        <v>30931534</v>
      </c>
      <c r="J9" s="54">
        <v>28417526</v>
      </c>
    </row>
    <row r="10" spans="1:19" x14ac:dyDescent="0.3">
      <c r="B10" s="47" t="s">
        <v>7</v>
      </c>
      <c r="C10" s="47" t="s">
        <v>153</v>
      </c>
      <c r="D10" s="47">
        <v>1</v>
      </c>
      <c r="F10" s="54"/>
      <c r="G10" s="54"/>
      <c r="H10" s="54">
        <v>58687068</v>
      </c>
      <c r="I10" s="54">
        <v>68732476</v>
      </c>
      <c r="J10" s="54">
        <v>64288031</v>
      </c>
    </row>
    <row r="11" spans="1:19" x14ac:dyDescent="0.3">
      <c r="B11" s="47" t="s">
        <v>196</v>
      </c>
      <c r="C11" s="47" t="s">
        <v>197</v>
      </c>
      <c r="D11" s="47">
        <v>1</v>
      </c>
      <c r="F11" s="54"/>
      <c r="G11" s="54"/>
      <c r="H11" s="54">
        <v>0</v>
      </c>
      <c r="I11" s="54">
        <v>0</v>
      </c>
      <c r="J11" s="54">
        <v>0</v>
      </c>
    </row>
    <row r="12" spans="1:19" x14ac:dyDescent="0.3">
      <c r="B12" s="47" t="s">
        <v>198</v>
      </c>
      <c r="C12" s="47" t="s">
        <v>154</v>
      </c>
      <c r="D12" s="47">
        <v>1</v>
      </c>
      <c r="F12" s="54"/>
      <c r="G12" s="54"/>
      <c r="H12" s="54">
        <v>959053</v>
      </c>
      <c r="I12" s="54">
        <v>1298910</v>
      </c>
      <c r="J12" s="54">
        <v>3278665</v>
      </c>
    </row>
    <row r="13" spans="1:19" x14ac:dyDescent="0.3">
      <c r="B13" s="47" t="s">
        <v>199</v>
      </c>
      <c r="C13" s="47" t="s">
        <v>155</v>
      </c>
      <c r="D13" s="47">
        <v>1</v>
      </c>
      <c r="F13" s="54"/>
      <c r="G13" s="54"/>
      <c r="H13" s="54">
        <v>2280411</v>
      </c>
      <c r="I13" s="54">
        <v>2392162</v>
      </c>
      <c r="J13" s="54">
        <v>2226957</v>
      </c>
    </row>
    <row r="14" spans="1:19" x14ac:dyDescent="0.3">
      <c r="B14" s="47" t="s">
        <v>200</v>
      </c>
      <c r="C14" s="47" t="s">
        <v>156</v>
      </c>
      <c r="D14" s="47">
        <v>1</v>
      </c>
      <c r="F14" s="54"/>
      <c r="G14" s="54"/>
      <c r="H14" s="54">
        <v>4954192</v>
      </c>
      <c r="I14" s="54">
        <v>6496552</v>
      </c>
      <c r="J14" s="54">
        <v>10305284</v>
      </c>
    </row>
    <row r="15" spans="1:19" x14ac:dyDescent="0.3">
      <c r="B15" s="47" t="s">
        <v>157</v>
      </c>
      <c r="C15" s="47" t="s">
        <v>158</v>
      </c>
      <c r="D15" s="47">
        <v>1</v>
      </c>
      <c r="F15" s="54"/>
      <c r="G15" s="54"/>
      <c r="H15" s="54">
        <v>70845</v>
      </c>
      <c r="I15" s="54">
        <v>3760155</v>
      </c>
      <c r="J15" s="54">
        <v>0</v>
      </c>
    </row>
    <row r="16" spans="1:19" x14ac:dyDescent="0.3">
      <c r="B16" s="47" t="s">
        <v>8</v>
      </c>
      <c r="C16" s="47" t="s">
        <v>9</v>
      </c>
      <c r="D16" s="47">
        <v>1</v>
      </c>
      <c r="F16" s="54"/>
      <c r="G16" s="54"/>
      <c r="H16" s="54">
        <v>92321417</v>
      </c>
      <c r="I16" s="54">
        <v>113611789</v>
      </c>
      <c r="J16" s="54">
        <v>108516463</v>
      </c>
    </row>
    <row r="17" spans="2:10" x14ac:dyDescent="0.3">
      <c r="B17" s="47" t="s">
        <v>10</v>
      </c>
      <c r="C17" s="47" t="s">
        <v>11</v>
      </c>
      <c r="D17" s="47">
        <v>1</v>
      </c>
      <c r="F17" s="54"/>
      <c r="G17" s="54"/>
      <c r="H17" s="54">
        <v>241468407</v>
      </c>
      <c r="I17" s="54">
        <v>248553738</v>
      </c>
      <c r="J17" s="54">
        <v>226494140</v>
      </c>
    </row>
    <row r="18" spans="2:10" x14ac:dyDescent="0.3">
      <c r="B18" s="47" t="s">
        <v>12</v>
      </c>
      <c r="C18" s="47" t="s">
        <v>13</v>
      </c>
      <c r="D18" s="47">
        <v>1</v>
      </c>
      <c r="F18" s="54"/>
      <c r="G18" s="54"/>
      <c r="H18" s="54">
        <v>26412210</v>
      </c>
      <c r="I18" s="54">
        <v>26412210</v>
      </c>
      <c r="J18" s="54">
        <v>52824419</v>
      </c>
    </row>
    <row r="19" spans="2:10" x14ac:dyDescent="0.3">
      <c r="B19" s="47" t="s">
        <v>201</v>
      </c>
      <c r="C19" s="47" t="s">
        <v>14</v>
      </c>
      <c r="D19" s="47">
        <v>1</v>
      </c>
      <c r="F19" s="54"/>
      <c r="G19" s="54"/>
      <c r="H19" s="54">
        <v>2182283</v>
      </c>
      <c r="I19" s="54">
        <v>2182283</v>
      </c>
      <c r="J19" s="54">
        <v>2182283</v>
      </c>
    </row>
    <row r="20" spans="2:10" x14ac:dyDescent="0.3">
      <c r="B20" s="47" t="s">
        <v>15</v>
      </c>
      <c r="C20" s="47" t="s">
        <v>159</v>
      </c>
      <c r="D20" s="47">
        <v>1</v>
      </c>
      <c r="F20" s="54"/>
      <c r="G20" s="54"/>
      <c r="H20" s="54">
        <v>59234711</v>
      </c>
      <c r="I20" s="54">
        <v>58289913</v>
      </c>
      <c r="J20" s="54">
        <v>59775572</v>
      </c>
    </row>
    <row r="21" spans="2:10" x14ac:dyDescent="0.3">
      <c r="B21" s="47" t="s">
        <v>16</v>
      </c>
      <c r="C21" s="47" t="s">
        <v>17</v>
      </c>
      <c r="D21" s="47">
        <v>1</v>
      </c>
      <c r="F21" s="54"/>
      <c r="G21" s="54"/>
      <c r="H21" s="54">
        <v>51013095</v>
      </c>
      <c r="I21" s="54">
        <v>48677929</v>
      </c>
      <c r="J21" s="54">
        <v>37455484</v>
      </c>
    </row>
    <row r="22" spans="2:10" x14ac:dyDescent="0.3">
      <c r="B22" s="47" t="s">
        <v>18</v>
      </c>
      <c r="C22" s="47" t="s">
        <v>202</v>
      </c>
      <c r="D22" s="47">
        <v>1</v>
      </c>
      <c r="F22" s="54"/>
      <c r="G22" s="54"/>
      <c r="H22" s="54">
        <v>138842299</v>
      </c>
      <c r="I22" s="54">
        <v>135562335</v>
      </c>
      <c r="J22" s="54">
        <v>152237758</v>
      </c>
    </row>
    <row r="23" spans="2:10" x14ac:dyDescent="0.3">
      <c r="B23" s="47" t="s">
        <v>203</v>
      </c>
      <c r="C23" s="47" t="s">
        <v>204</v>
      </c>
      <c r="D23" s="47">
        <v>1</v>
      </c>
      <c r="F23" s="54"/>
      <c r="G23" s="54"/>
      <c r="H23" s="54">
        <v>200000</v>
      </c>
      <c r="I23" s="54">
        <v>400000</v>
      </c>
      <c r="J23" s="54">
        <v>1000000</v>
      </c>
    </row>
    <row r="24" spans="2:10" x14ac:dyDescent="0.3">
      <c r="B24" s="47" t="s">
        <v>205</v>
      </c>
      <c r="C24" s="47" t="s">
        <v>20</v>
      </c>
      <c r="D24" s="47">
        <v>1</v>
      </c>
      <c r="F24" s="54"/>
      <c r="G24" s="54"/>
      <c r="H24" s="54">
        <v>7857468</v>
      </c>
      <c r="I24" s="54">
        <v>8012574</v>
      </c>
      <c r="J24" s="54">
        <v>7780659</v>
      </c>
    </row>
    <row r="25" spans="2:10" ht="15" customHeight="1" x14ac:dyDescent="0.3">
      <c r="B25" s="47" t="s">
        <v>160</v>
      </c>
      <c r="C25" s="47" t="s">
        <v>161</v>
      </c>
      <c r="D25" s="47">
        <v>1</v>
      </c>
      <c r="F25" s="54"/>
      <c r="G25" s="54"/>
      <c r="H25" s="54">
        <v>4391676</v>
      </c>
      <c r="I25" s="54">
        <v>2775047</v>
      </c>
      <c r="J25" s="54">
        <v>8190409</v>
      </c>
    </row>
    <row r="26" spans="2:10" x14ac:dyDescent="0.3">
      <c r="B26" s="47" t="s">
        <v>206</v>
      </c>
      <c r="C26" s="47" t="s">
        <v>162</v>
      </c>
      <c r="D26" s="47">
        <v>1</v>
      </c>
      <c r="F26" s="54"/>
      <c r="G26" s="54"/>
      <c r="H26" s="54">
        <v>9749654</v>
      </c>
      <c r="I26" s="54">
        <v>7790433</v>
      </c>
      <c r="J26" s="54">
        <v>6418199</v>
      </c>
    </row>
    <row r="27" spans="2:10" x14ac:dyDescent="0.3">
      <c r="B27" s="47" t="s">
        <v>21</v>
      </c>
      <c r="C27" s="47" t="s">
        <v>22</v>
      </c>
      <c r="D27" s="47">
        <v>1</v>
      </c>
      <c r="F27" s="54"/>
      <c r="G27" s="54"/>
      <c r="H27" s="54">
        <v>22198798</v>
      </c>
      <c r="I27" s="54">
        <v>18978054</v>
      </c>
      <c r="J27" s="54">
        <v>23389267</v>
      </c>
    </row>
    <row r="28" spans="2:10" x14ac:dyDescent="0.3">
      <c r="B28" s="47" t="s">
        <v>163</v>
      </c>
      <c r="C28" s="47" t="s">
        <v>207</v>
      </c>
      <c r="D28" s="47">
        <v>1</v>
      </c>
      <c r="F28" s="54"/>
      <c r="G28" s="54"/>
      <c r="H28" s="54">
        <v>34582853</v>
      </c>
      <c r="I28" s="54">
        <v>39150062</v>
      </c>
      <c r="J28" s="54">
        <v>25346837</v>
      </c>
    </row>
    <row r="29" spans="2:10" x14ac:dyDescent="0.3">
      <c r="B29" s="47" t="s">
        <v>164</v>
      </c>
      <c r="C29" s="47" t="s">
        <v>165</v>
      </c>
      <c r="D29" s="47">
        <v>1</v>
      </c>
      <c r="F29" s="54"/>
      <c r="G29" s="54"/>
      <c r="H29" s="54">
        <v>39590380</v>
      </c>
      <c r="I29" s="54">
        <v>48545377</v>
      </c>
      <c r="J29" s="54">
        <v>20046543</v>
      </c>
    </row>
    <row r="30" spans="2:10" x14ac:dyDescent="0.3">
      <c r="B30" s="47" t="s">
        <v>166</v>
      </c>
      <c r="C30" s="47" t="s">
        <v>167</v>
      </c>
      <c r="D30" s="47">
        <v>1</v>
      </c>
      <c r="F30" s="54"/>
      <c r="G30" s="54"/>
      <c r="H30" s="54">
        <v>6254077</v>
      </c>
      <c r="I30" s="54">
        <v>6317910</v>
      </c>
      <c r="J30" s="54">
        <v>5473735</v>
      </c>
    </row>
    <row r="31" spans="2:10" x14ac:dyDescent="0.3">
      <c r="B31" s="47" t="s">
        <v>23</v>
      </c>
      <c r="C31" s="47" t="s">
        <v>24</v>
      </c>
      <c r="D31" s="47">
        <v>1</v>
      </c>
      <c r="F31" s="54"/>
      <c r="G31" s="54"/>
      <c r="H31" s="54">
        <v>80427310</v>
      </c>
      <c r="I31" s="54">
        <v>94013349</v>
      </c>
      <c r="J31" s="54">
        <v>50867115</v>
      </c>
    </row>
    <row r="32" spans="2:10" x14ac:dyDescent="0.3">
      <c r="B32" s="47" t="s">
        <v>25</v>
      </c>
      <c r="C32" s="47" t="s">
        <v>26</v>
      </c>
      <c r="D32" s="47">
        <v>1</v>
      </c>
      <c r="F32" s="54"/>
      <c r="G32" s="54"/>
      <c r="H32" s="54">
        <v>102626108</v>
      </c>
      <c r="I32" s="54">
        <v>112991403</v>
      </c>
      <c r="J32" s="54">
        <v>74256382</v>
      </c>
    </row>
    <row r="33" spans="2:10" x14ac:dyDescent="0.3">
      <c r="B33" s="47" t="s">
        <v>27</v>
      </c>
      <c r="C33" s="47" t="s">
        <v>208</v>
      </c>
      <c r="D33" s="47">
        <v>1</v>
      </c>
      <c r="F33" s="54"/>
      <c r="G33" s="54"/>
      <c r="H33" s="54">
        <v>241468407</v>
      </c>
      <c r="I33" s="54">
        <v>248553738</v>
      </c>
      <c r="J33" s="54">
        <v>226494140</v>
      </c>
    </row>
    <row r="34" spans="2:10" x14ac:dyDescent="0.3">
      <c r="B34" s="47" t="s">
        <v>168</v>
      </c>
      <c r="C34" s="47" t="s">
        <v>28</v>
      </c>
      <c r="D34" s="47">
        <v>1</v>
      </c>
      <c r="F34" s="54"/>
      <c r="G34" s="54"/>
      <c r="H34" s="54">
        <v>123293002</v>
      </c>
      <c r="I34" s="54">
        <v>134652067</v>
      </c>
      <c r="J34" s="54">
        <v>112276281</v>
      </c>
    </row>
    <row r="35" spans="2:10" x14ac:dyDescent="0.3">
      <c r="B35" s="47" t="s">
        <v>37</v>
      </c>
      <c r="C35" s="47" t="s">
        <v>169</v>
      </c>
      <c r="D35" s="47">
        <v>1</v>
      </c>
      <c r="F35" s="54"/>
      <c r="G35" s="54"/>
      <c r="H35" s="54">
        <v>2223429</v>
      </c>
      <c r="I35" s="54">
        <v>2254827</v>
      </c>
      <c r="J35" s="54">
        <v>2141875</v>
      </c>
    </row>
    <row r="36" spans="2:10" x14ac:dyDescent="0.3">
      <c r="B36" s="47" t="s">
        <v>170</v>
      </c>
      <c r="C36" s="47" t="s">
        <v>171</v>
      </c>
      <c r="D36" s="47">
        <v>1</v>
      </c>
      <c r="F36" s="54"/>
      <c r="G36" s="54"/>
      <c r="H36" s="54">
        <v>2132771</v>
      </c>
      <c r="I36" s="54">
        <v>3871197</v>
      </c>
      <c r="J36" s="54">
        <v>164490</v>
      </c>
    </row>
    <row r="37" spans="2:10" x14ac:dyDescent="0.3">
      <c r="B37" s="47" t="s">
        <v>172</v>
      </c>
      <c r="C37" s="47" t="s">
        <v>29</v>
      </c>
      <c r="D37" s="47">
        <v>1</v>
      </c>
      <c r="F37" s="54"/>
      <c r="G37" s="54"/>
      <c r="H37" s="54">
        <v>-89702894</v>
      </c>
      <c r="I37" s="54">
        <v>-101857503</v>
      </c>
      <c r="J37" s="54">
        <v>-79008710</v>
      </c>
    </row>
    <row r="38" spans="2:10" x14ac:dyDescent="0.3">
      <c r="B38" s="47" t="s">
        <v>173</v>
      </c>
      <c r="C38" s="47" t="s">
        <v>209</v>
      </c>
      <c r="D38" s="47">
        <v>1</v>
      </c>
      <c r="F38" s="54"/>
      <c r="G38" s="54"/>
      <c r="H38" s="54">
        <v>-20488805</v>
      </c>
      <c r="I38" s="54">
        <v>-20950089</v>
      </c>
      <c r="J38" s="54">
        <v>-22472144</v>
      </c>
    </row>
    <row r="39" spans="2:10" x14ac:dyDescent="0.3">
      <c r="B39" s="47" t="s">
        <v>174</v>
      </c>
      <c r="C39" s="47" t="s">
        <v>30</v>
      </c>
      <c r="D39" s="47">
        <v>1</v>
      </c>
      <c r="F39" s="54"/>
      <c r="G39" s="54"/>
      <c r="H39" s="54">
        <v>-4999169</v>
      </c>
      <c r="I39" s="54">
        <v>-4904747</v>
      </c>
      <c r="J39" s="54">
        <v>-4745999</v>
      </c>
    </row>
    <row r="40" spans="2:10" x14ac:dyDescent="0.3">
      <c r="B40" s="47" t="s">
        <v>175</v>
      </c>
      <c r="C40" s="47" t="s">
        <v>31</v>
      </c>
      <c r="D40" s="47">
        <v>1</v>
      </c>
      <c r="F40" s="54"/>
      <c r="G40" s="54"/>
      <c r="H40" s="54">
        <v>-7887790</v>
      </c>
      <c r="I40" s="54">
        <v>-7862018</v>
      </c>
      <c r="J40" s="54">
        <v>-8190697</v>
      </c>
    </row>
    <row r="41" spans="2:10" x14ac:dyDescent="0.3">
      <c r="B41" s="47" t="s">
        <v>176</v>
      </c>
      <c r="C41" s="47" t="s">
        <v>210</v>
      </c>
      <c r="D41" s="47">
        <v>1</v>
      </c>
      <c r="F41" s="54"/>
      <c r="G41" s="54"/>
      <c r="H41" s="54">
        <v>196974</v>
      </c>
      <c r="I41" s="54">
        <v>89074</v>
      </c>
      <c r="J41" s="54">
        <v>4044277</v>
      </c>
    </row>
    <row r="42" spans="2:10" x14ac:dyDescent="0.3">
      <c r="B42" s="47" t="s">
        <v>177</v>
      </c>
      <c r="C42" s="47" t="s">
        <v>178</v>
      </c>
      <c r="D42" s="47">
        <v>1</v>
      </c>
      <c r="F42" s="54"/>
      <c r="G42" s="54"/>
      <c r="H42" s="54">
        <v>4767518</v>
      </c>
      <c r="I42" s="54">
        <v>5292808</v>
      </c>
      <c r="J42" s="54">
        <v>4209373</v>
      </c>
    </row>
    <row r="43" spans="2:10" x14ac:dyDescent="0.3">
      <c r="B43" s="47" t="s">
        <v>179</v>
      </c>
      <c r="C43" s="47" t="s">
        <v>180</v>
      </c>
      <c r="D43" s="47">
        <v>1</v>
      </c>
      <c r="F43" s="54"/>
      <c r="G43" s="54"/>
      <c r="H43" s="54">
        <v>73323</v>
      </c>
      <c r="I43" s="54">
        <v>188357</v>
      </c>
      <c r="J43" s="54">
        <v>2845598</v>
      </c>
    </row>
    <row r="44" spans="2:10" x14ac:dyDescent="0.3">
      <c r="B44" s="47" t="s">
        <v>181</v>
      </c>
      <c r="C44" s="47" t="s">
        <v>211</v>
      </c>
      <c r="D44" s="47">
        <v>1</v>
      </c>
      <c r="F44" s="54"/>
      <c r="G44" s="54"/>
      <c r="H44" s="54">
        <v>-1046125</v>
      </c>
      <c r="I44" s="54">
        <v>-703394</v>
      </c>
      <c r="J44" s="54">
        <v>-1059500</v>
      </c>
    </row>
    <row r="45" spans="2:10" x14ac:dyDescent="0.3">
      <c r="B45" s="47" t="s">
        <v>212</v>
      </c>
      <c r="C45" s="47" t="s">
        <v>213</v>
      </c>
      <c r="D45" s="47">
        <v>1</v>
      </c>
      <c r="F45" s="54"/>
      <c r="G45" s="54"/>
      <c r="H45" s="54">
        <v>0</v>
      </c>
      <c r="I45" s="54">
        <v>0</v>
      </c>
      <c r="J45" s="54">
        <v>0</v>
      </c>
    </row>
    <row r="46" spans="2:10" x14ac:dyDescent="0.3">
      <c r="B46" s="47" t="s">
        <v>32</v>
      </c>
      <c r="C46" s="47" t="s">
        <v>214</v>
      </c>
      <c r="D46" s="47">
        <v>1</v>
      </c>
      <c r="F46" s="54"/>
      <c r="G46" s="54"/>
      <c r="H46" s="54">
        <v>3794716</v>
      </c>
      <c r="I46" s="54">
        <v>4777771</v>
      </c>
      <c r="J46" s="54">
        <v>5995471</v>
      </c>
    </row>
    <row r="47" spans="2:10" x14ac:dyDescent="0.3">
      <c r="B47" s="47" t="s">
        <v>33</v>
      </c>
      <c r="C47" s="47" t="s">
        <v>215</v>
      </c>
      <c r="D47" s="47">
        <v>1</v>
      </c>
      <c r="F47" s="54"/>
      <c r="G47" s="54"/>
      <c r="H47" s="54">
        <v>-523739</v>
      </c>
      <c r="I47" s="54">
        <v>-719096</v>
      </c>
      <c r="J47" s="54">
        <v>-774565</v>
      </c>
    </row>
    <row r="48" spans="2:10" x14ac:dyDescent="0.3">
      <c r="B48" s="47" t="s">
        <v>216</v>
      </c>
      <c r="C48" s="47" t="s">
        <v>217</v>
      </c>
      <c r="D48" s="47">
        <v>1</v>
      </c>
      <c r="F48" s="54"/>
      <c r="G48" s="54"/>
      <c r="H48" s="54">
        <v>3270977</v>
      </c>
      <c r="I48" s="54">
        <v>4058675</v>
      </c>
      <c r="J48" s="54">
        <v>5220906</v>
      </c>
    </row>
    <row r="49" spans="2:10" x14ac:dyDescent="0.3">
      <c r="B49" s="47" t="s">
        <v>218</v>
      </c>
      <c r="C49" s="47" t="s">
        <v>219</v>
      </c>
      <c r="D49" s="47">
        <v>1</v>
      </c>
      <c r="F49" s="54"/>
      <c r="G49" s="54"/>
      <c r="H49" s="54"/>
      <c r="I49" s="54"/>
      <c r="J49" s="54"/>
    </row>
    <row r="50" spans="2:10" x14ac:dyDescent="0.3">
      <c r="B50" s="47" t="s">
        <v>220</v>
      </c>
      <c r="C50" s="47" t="s">
        <v>221</v>
      </c>
      <c r="D50" s="47">
        <v>1</v>
      </c>
      <c r="F50" s="54"/>
      <c r="G50" s="54"/>
      <c r="H50" s="54"/>
      <c r="I50" s="54"/>
      <c r="J50" s="54"/>
    </row>
    <row r="51" spans="2:10" s="56" customFormat="1" x14ac:dyDescent="0.3">
      <c r="B51" s="56" t="s">
        <v>222</v>
      </c>
      <c r="C51" s="56" t="s">
        <v>223</v>
      </c>
      <c r="D51" s="47">
        <v>1</v>
      </c>
      <c r="E51" s="60"/>
      <c r="F51" s="54"/>
      <c r="G51" s="54"/>
      <c r="H51" s="54">
        <v>3270977</v>
      </c>
      <c r="I51" s="54">
        <v>4058675</v>
      </c>
      <c r="J51" s="54">
        <v>5220906</v>
      </c>
    </row>
    <row r="52" spans="2:10" x14ac:dyDescent="0.3">
      <c r="B52" s="47" t="s">
        <v>147</v>
      </c>
      <c r="C52" s="47" t="s">
        <v>147</v>
      </c>
      <c r="D52" s="47">
        <v>1</v>
      </c>
      <c r="F52" s="54"/>
      <c r="G52" s="54"/>
      <c r="H52" s="54">
        <v>8650965</v>
      </c>
      <c r="I52" s="54">
        <v>9117851</v>
      </c>
      <c r="J52" s="54">
        <v>3986629.4800000191</v>
      </c>
    </row>
    <row r="53" spans="2:10" x14ac:dyDescent="0.3">
      <c r="B53" s="47" t="s">
        <v>227</v>
      </c>
      <c r="C53" s="47" t="s">
        <v>226</v>
      </c>
      <c r="F53" s="54"/>
      <c r="G53" s="54"/>
      <c r="H53" s="54">
        <v>-267</v>
      </c>
      <c r="I53" s="54">
        <v>9006</v>
      </c>
      <c r="J53" s="54">
        <v>3992451</v>
      </c>
    </row>
    <row r="54" spans="2:10" x14ac:dyDescent="0.3">
      <c r="B54" s="47" t="s">
        <v>99</v>
      </c>
      <c r="C54" s="47" t="s">
        <v>100</v>
      </c>
      <c r="D54" s="47">
        <v>1</v>
      </c>
      <c r="F54" s="54"/>
      <c r="G54" s="54"/>
      <c r="H54" s="54">
        <v>82929385</v>
      </c>
      <c r="I54" s="54">
        <v>95548711</v>
      </c>
      <c r="J54" s="54">
        <v>78492952.660000026</v>
      </c>
    </row>
    <row r="55" spans="2:10" x14ac:dyDescent="0.3">
      <c r="B55" s="47" t="s">
        <v>224</v>
      </c>
      <c r="C55" s="47" t="s">
        <v>225</v>
      </c>
      <c r="D55" s="47">
        <v>1</v>
      </c>
      <c r="F55" s="54"/>
      <c r="G55" s="54"/>
      <c r="H55" s="54">
        <v>11536</v>
      </c>
      <c r="I55" s="54">
        <v>57676</v>
      </c>
      <c r="J55" s="54">
        <v>726.5</v>
      </c>
    </row>
    <row r="56" spans="2:10" x14ac:dyDescent="0.3">
      <c r="B56" s="47" t="s">
        <v>38</v>
      </c>
      <c r="C56" s="47" t="s">
        <v>42</v>
      </c>
      <c r="D56" s="47">
        <v>1</v>
      </c>
      <c r="F56" s="54"/>
      <c r="G56" s="54"/>
      <c r="H56" s="54">
        <v>245210</v>
      </c>
      <c r="I56" s="54">
        <v>403383</v>
      </c>
      <c r="J56" s="54">
        <v>268912.13</v>
      </c>
    </row>
    <row r="57" spans="2:10" x14ac:dyDescent="0.3">
      <c r="B57" s="47" t="s">
        <v>39</v>
      </c>
      <c r="C57" s="47" t="s">
        <v>43</v>
      </c>
      <c r="D57" s="47">
        <v>1</v>
      </c>
      <c r="F57" s="54"/>
      <c r="G57" s="54"/>
      <c r="H57" s="54">
        <v>37592779</v>
      </c>
      <c r="I57" s="54">
        <v>34874238</v>
      </c>
      <c r="J57" s="54">
        <v>29796197.16</v>
      </c>
    </row>
    <row r="58" spans="2:10" x14ac:dyDescent="0.3">
      <c r="B58" s="47" t="s">
        <v>40</v>
      </c>
      <c r="C58" s="47" t="s">
        <v>44</v>
      </c>
      <c r="D58" s="47">
        <v>1</v>
      </c>
      <c r="F58" s="54"/>
      <c r="G58" s="54"/>
      <c r="H58" s="54">
        <v>2514092</v>
      </c>
      <c r="I58" s="54">
        <v>3768059</v>
      </c>
      <c r="J58" s="54">
        <v>3717492.2000000011</v>
      </c>
    </row>
    <row r="59" spans="2:10" x14ac:dyDescent="0.3">
      <c r="B59" s="47" t="s">
        <v>34</v>
      </c>
      <c r="C59" s="47" t="s">
        <v>35</v>
      </c>
      <c r="D59" s="47">
        <v>1</v>
      </c>
      <c r="F59" s="54"/>
      <c r="G59" s="54"/>
      <c r="H59" s="54">
        <v>1093704</v>
      </c>
      <c r="I59" s="54">
        <v>1125102</v>
      </c>
      <c r="J59" s="54">
        <v>1084886</v>
      </c>
    </row>
    <row r="60" spans="2:10" x14ac:dyDescent="0.3">
      <c r="B60" s="47" t="s">
        <v>79</v>
      </c>
      <c r="C60" s="47" t="s">
        <v>86</v>
      </c>
      <c r="D60" s="47">
        <v>1</v>
      </c>
      <c r="F60" s="54"/>
      <c r="G60" s="54"/>
      <c r="H60" s="54">
        <v>1129725</v>
      </c>
      <c r="I60" s="54">
        <v>1129725</v>
      </c>
      <c r="J60" s="54">
        <v>1056989</v>
      </c>
    </row>
    <row r="61" spans="2:10" x14ac:dyDescent="0.3">
      <c r="B61" s="47" t="s">
        <v>77</v>
      </c>
      <c r="C61" s="47" t="s">
        <v>84</v>
      </c>
      <c r="D61" s="47">
        <v>1</v>
      </c>
      <c r="F61" s="54"/>
      <c r="G61" s="54"/>
      <c r="H61" s="54">
        <v>474029</v>
      </c>
      <c r="I61" s="54">
        <v>568808</v>
      </c>
      <c r="J61" s="54">
        <v>900399</v>
      </c>
    </row>
    <row r="62" spans="2:10" x14ac:dyDescent="0.3">
      <c r="B62" s="47" t="s">
        <v>78</v>
      </c>
      <c r="C62" s="47" t="s">
        <v>85</v>
      </c>
      <c r="D62" s="47">
        <v>1</v>
      </c>
      <c r="F62" s="54"/>
      <c r="G62" s="54"/>
      <c r="H62" s="54">
        <v>4999169</v>
      </c>
      <c r="I62" s="54">
        <v>4904747</v>
      </c>
      <c r="J62" s="54">
        <v>4745999</v>
      </c>
    </row>
    <row r="63" spans="2:10" x14ac:dyDescent="0.3">
      <c r="F63" s="54"/>
      <c r="G63" s="54"/>
      <c r="H63" s="54"/>
      <c r="I63" s="54"/>
      <c r="J63" s="54"/>
    </row>
    <row r="64" spans="2:10" x14ac:dyDescent="0.3">
      <c r="B64" s="47" t="s">
        <v>228</v>
      </c>
      <c r="C64" s="47" t="s">
        <v>229</v>
      </c>
      <c r="F64" s="54"/>
      <c r="G64" s="54"/>
      <c r="H64" s="54">
        <v>61312889</v>
      </c>
      <c r="I64" s="54">
        <v>67473991</v>
      </c>
      <c r="J64" s="54">
        <v>53749284.800000004</v>
      </c>
    </row>
    <row r="65" spans="2:10" x14ac:dyDescent="0.3">
      <c r="B65" s="47" t="s">
        <v>230</v>
      </c>
      <c r="C65" s="47" t="s">
        <v>231</v>
      </c>
      <c r="F65" s="54"/>
      <c r="G65" s="54"/>
      <c r="H65" s="54">
        <v>18665292</v>
      </c>
      <c r="I65" s="54">
        <v>23570544</v>
      </c>
      <c r="J65" s="54">
        <v>21053908.44000002</v>
      </c>
    </row>
    <row r="66" spans="2:10" x14ac:dyDescent="0.3">
      <c r="B66" s="47" t="s">
        <v>232</v>
      </c>
      <c r="C66" s="47" t="s">
        <v>233</v>
      </c>
      <c r="F66" s="54"/>
      <c r="G66" s="54"/>
      <c r="H66" s="54">
        <v>2951204</v>
      </c>
      <c r="I66" s="54">
        <v>4504176</v>
      </c>
      <c r="J66" s="54">
        <v>3689759.42</v>
      </c>
    </row>
    <row r="67" spans="2:10" x14ac:dyDescent="0.3">
      <c r="B67" s="47" t="s">
        <v>234</v>
      </c>
      <c r="C67" s="47" t="s">
        <v>235</v>
      </c>
      <c r="F67" s="54"/>
      <c r="G67" s="54"/>
      <c r="H67" s="54">
        <v>40363617</v>
      </c>
      <c r="I67" s="54">
        <v>39103356</v>
      </c>
      <c r="J67" s="54">
        <v>33783327.990000002</v>
      </c>
    </row>
    <row r="68" spans="2:10" x14ac:dyDescent="0.3">
      <c r="F68" s="54"/>
      <c r="G68" s="54"/>
      <c r="H68" s="54"/>
      <c r="I68" s="54"/>
      <c r="J68" s="54"/>
    </row>
    <row r="69" spans="2:10" x14ac:dyDescent="0.3">
      <c r="F69" s="54"/>
      <c r="G69" s="54"/>
      <c r="H69" s="54"/>
      <c r="I69" s="54"/>
      <c r="J69" s="54"/>
    </row>
    <row r="70" spans="2:10" x14ac:dyDescent="0.3">
      <c r="F70" s="54"/>
      <c r="G70" s="54"/>
      <c r="H70" s="54"/>
      <c r="I70" s="54"/>
      <c r="J70" s="54"/>
    </row>
    <row r="71" spans="2:10" x14ac:dyDescent="0.3">
      <c r="F71" s="54"/>
      <c r="G71" s="54"/>
      <c r="H71" s="54"/>
      <c r="I71" s="54"/>
      <c r="J71" s="54"/>
    </row>
    <row r="72" spans="2:10" x14ac:dyDescent="0.3">
      <c r="F72" s="54"/>
      <c r="G72" s="54"/>
      <c r="H72" s="54"/>
      <c r="I72" s="54"/>
      <c r="J72" s="54"/>
    </row>
    <row r="73" spans="2:10" x14ac:dyDescent="0.3">
      <c r="F73" s="54"/>
      <c r="G73" s="54"/>
      <c r="H73" s="54"/>
      <c r="I73" s="54"/>
      <c r="J73" s="54"/>
    </row>
    <row r="74" spans="2:10" x14ac:dyDescent="0.3">
      <c r="F74" s="54"/>
      <c r="G74" s="54"/>
      <c r="H74" s="54"/>
      <c r="I74" s="54"/>
      <c r="J74" s="54"/>
    </row>
    <row r="75" spans="2:10" x14ac:dyDescent="0.3">
      <c r="F75" s="54"/>
      <c r="G75" s="54"/>
      <c r="H75" s="54"/>
      <c r="I75" s="54"/>
      <c r="J75" s="54"/>
    </row>
    <row r="76" spans="2:10" x14ac:dyDescent="0.3">
      <c r="F76" s="54"/>
      <c r="G76" s="54"/>
      <c r="H76" s="54"/>
      <c r="I76" s="54"/>
      <c r="J76" s="54"/>
    </row>
    <row r="77" spans="2:10" x14ac:dyDescent="0.3">
      <c r="F77" s="54"/>
      <c r="G77" s="54"/>
      <c r="H77" s="54"/>
      <c r="I77" s="54"/>
      <c r="J77" s="54"/>
    </row>
    <row r="78" spans="2:10" x14ac:dyDescent="0.3">
      <c r="F78" s="54"/>
      <c r="G78" s="54"/>
      <c r="H78" s="54"/>
      <c r="I78" s="54"/>
      <c r="J78" s="54"/>
    </row>
    <row r="79" spans="2:10" x14ac:dyDescent="0.3">
      <c r="F79" s="54"/>
      <c r="G79" s="54"/>
      <c r="H79" s="54"/>
      <c r="I79" s="54"/>
      <c r="J79" s="54"/>
    </row>
    <row r="80" spans="2:10" x14ac:dyDescent="0.3">
      <c r="F80" s="54"/>
      <c r="G80" s="54"/>
      <c r="H80" s="54"/>
      <c r="I80" s="54"/>
      <c r="J80" s="54"/>
    </row>
    <row r="81" spans="6:10" x14ac:dyDescent="0.3">
      <c r="F81" s="54"/>
      <c r="G81" s="54"/>
      <c r="H81" s="54"/>
      <c r="I81" s="54"/>
      <c r="J81" s="54"/>
    </row>
    <row r="82" spans="6:10" x14ac:dyDescent="0.3">
      <c r="F82" s="54"/>
      <c r="G82" s="54"/>
      <c r="H82" s="54"/>
      <c r="I82" s="54"/>
      <c r="J82" s="54"/>
    </row>
    <row r="83" spans="6:10" x14ac:dyDescent="0.3">
      <c r="F83" s="54"/>
      <c r="G83" s="54"/>
      <c r="H83" s="54"/>
      <c r="I83" s="54"/>
      <c r="J83" s="54"/>
    </row>
    <row r="84" spans="6:10" x14ac:dyDescent="0.3">
      <c r="F84" s="54"/>
      <c r="G84" s="54"/>
      <c r="H84" s="54"/>
      <c r="I84" s="54"/>
      <c r="J84" s="54"/>
    </row>
    <row r="85" spans="6:10" x14ac:dyDescent="0.3">
      <c r="F85" s="54"/>
      <c r="G85" s="54"/>
      <c r="H85" s="54"/>
      <c r="I85" s="54"/>
      <c r="J85" s="54"/>
    </row>
    <row r="86" spans="6:10" x14ac:dyDescent="0.3">
      <c r="F86" s="54"/>
      <c r="G86" s="54"/>
      <c r="H86" s="54"/>
      <c r="I86" s="54"/>
      <c r="J86" s="54"/>
    </row>
    <row r="87" spans="6:10" x14ac:dyDescent="0.3">
      <c r="F87" s="54"/>
      <c r="G87" s="54"/>
      <c r="H87" s="54"/>
      <c r="I87" s="54"/>
      <c r="J87" s="54"/>
    </row>
    <row r="88" spans="6:10" x14ac:dyDescent="0.3">
      <c r="F88" s="54"/>
      <c r="G88" s="54"/>
      <c r="H88" s="54"/>
      <c r="I88" s="54"/>
      <c r="J88" s="54"/>
    </row>
    <row r="89" spans="6:10" x14ac:dyDescent="0.3">
      <c r="F89" s="54"/>
      <c r="G89" s="54"/>
      <c r="H89" s="54"/>
      <c r="I89" s="54"/>
      <c r="J89" s="54"/>
    </row>
    <row r="90" spans="6:10" x14ac:dyDescent="0.3">
      <c r="F90" s="54"/>
      <c r="G90" s="54"/>
      <c r="H90" s="54"/>
      <c r="I90" s="54"/>
      <c r="J90" s="54"/>
    </row>
    <row r="91" spans="6:10" x14ac:dyDescent="0.3">
      <c r="F91" s="54"/>
      <c r="G91" s="54"/>
      <c r="H91" s="54"/>
      <c r="I91" s="54"/>
      <c r="J91" s="54"/>
    </row>
    <row r="92" spans="6:10" x14ac:dyDescent="0.3">
      <c r="F92" s="54"/>
      <c r="G92" s="54"/>
      <c r="H92" s="54"/>
      <c r="I92" s="54"/>
      <c r="J92" s="54"/>
    </row>
    <row r="93" spans="6:10" x14ac:dyDescent="0.3">
      <c r="F93" s="54"/>
      <c r="G93" s="54"/>
      <c r="H93" s="54"/>
      <c r="I93" s="54"/>
      <c r="J93" s="54"/>
    </row>
    <row r="94" spans="6:10" x14ac:dyDescent="0.3">
      <c r="F94" s="54"/>
      <c r="G94" s="54"/>
      <c r="H94" s="54"/>
      <c r="I94" s="54"/>
      <c r="J94" s="54"/>
    </row>
    <row r="95" spans="6:10" x14ac:dyDescent="0.3">
      <c r="F95" s="54"/>
      <c r="G95" s="54"/>
      <c r="H95" s="54"/>
      <c r="I95" s="54"/>
      <c r="J95" s="54"/>
    </row>
    <row r="96" spans="6:10" x14ac:dyDescent="0.3">
      <c r="F96" s="54"/>
      <c r="G96" s="54"/>
      <c r="H96" s="54"/>
      <c r="I96" s="54"/>
      <c r="J96" s="54"/>
    </row>
    <row r="97" spans="6:10" x14ac:dyDescent="0.3">
      <c r="F97" s="54"/>
      <c r="G97" s="54"/>
      <c r="H97" s="54"/>
      <c r="I97" s="54"/>
      <c r="J97" s="54"/>
    </row>
    <row r="98" spans="6:10" x14ac:dyDescent="0.3">
      <c r="F98" s="54"/>
      <c r="G98" s="54"/>
      <c r="H98" s="54"/>
      <c r="I98" s="54"/>
      <c r="J98" s="54"/>
    </row>
    <row r="99" spans="6:10" x14ac:dyDescent="0.3">
      <c r="F99" s="54"/>
      <c r="G99" s="54"/>
      <c r="H99" s="54"/>
      <c r="I99" s="54"/>
      <c r="J99" s="54"/>
    </row>
    <row r="100" spans="6:10" x14ac:dyDescent="0.3">
      <c r="F100" s="54"/>
      <c r="G100" s="54"/>
      <c r="H100" s="54"/>
      <c r="I100" s="54"/>
      <c r="J100" s="54"/>
    </row>
    <row r="101" spans="6:10" x14ac:dyDescent="0.3">
      <c r="F101" s="54"/>
      <c r="G101" s="54"/>
      <c r="H101" s="54"/>
      <c r="I101" s="54"/>
      <c r="J101" s="54"/>
    </row>
    <row r="102" spans="6:10" x14ac:dyDescent="0.3">
      <c r="F102" s="54"/>
      <c r="G102" s="54"/>
      <c r="H102" s="54"/>
      <c r="I102" s="54"/>
      <c r="J102" s="54"/>
    </row>
    <row r="103" spans="6:10" x14ac:dyDescent="0.3">
      <c r="F103" s="54"/>
      <c r="G103" s="54"/>
      <c r="H103" s="54"/>
      <c r="I103" s="54"/>
      <c r="J103" s="54"/>
    </row>
    <row r="104" spans="6:10" x14ac:dyDescent="0.3">
      <c r="F104" s="54"/>
      <c r="G104" s="54"/>
      <c r="H104" s="54"/>
      <c r="I104" s="54"/>
      <c r="J104" s="54"/>
    </row>
    <row r="105" spans="6:10" x14ac:dyDescent="0.3">
      <c r="F105" s="54"/>
      <c r="G105" s="54"/>
      <c r="H105" s="54"/>
      <c r="I105" s="54"/>
      <c r="J105" s="54"/>
    </row>
    <row r="106" spans="6:10" x14ac:dyDescent="0.3">
      <c r="F106" s="54"/>
      <c r="G106" s="54"/>
      <c r="H106" s="54"/>
      <c r="I106" s="54"/>
      <c r="J106" s="54"/>
    </row>
    <row r="107" spans="6:10" x14ac:dyDescent="0.3">
      <c r="F107" s="54"/>
      <c r="G107" s="54"/>
      <c r="H107" s="54"/>
      <c r="I107" s="54"/>
      <c r="J107" s="54"/>
    </row>
    <row r="108" spans="6:10" x14ac:dyDescent="0.3">
      <c r="F108" s="54"/>
      <c r="G108" s="54"/>
      <c r="H108" s="54"/>
      <c r="I108" s="54"/>
      <c r="J108" s="54"/>
    </row>
    <row r="109" spans="6:10" x14ac:dyDescent="0.3">
      <c r="F109" s="54"/>
      <c r="G109" s="54"/>
      <c r="H109" s="54"/>
      <c r="I109" s="54"/>
      <c r="J109" s="54"/>
    </row>
    <row r="110" spans="6:10" x14ac:dyDescent="0.3">
      <c r="F110" s="54"/>
      <c r="G110" s="54"/>
      <c r="H110" s="54"/>
      <c r="I110" s="54"/>
      <c r="J110" s="54"/>
    </row>
    <row r="111" spans="6:10" x14ac:dyDescent="0.3">
      <c r="F111" s="54"/>
      <c r="G111" s="54"/>
      <c r="H111" s="54"/>
      <c r="I111" s="54"/>
      <c r="J111" s="54"/>
    </row>
    <row r="112" spans="6:10" x14ac:dyDescent="0.3">
      <c r="F112" s="54"/>
      <c r="G112" s="54"/>
      <c r="H112" s="54"/>
      <c r="I112" s="54"/>
      <c r="J112" s="54"/>
    </row>
    <row r="113" spans="4:10" x14ac:dyDescent="0.3">
      <c r="F113" s="54"/>
      <c r="G113" s="54"/>
      <c r="H113" s="54"/>
      <c r="I113" s="54"/>
      <c r="J113" s="54"/>
    </row>
    <row r="114" spans="4:10" s="56" customFormat="1" x14ac:dyDescent="0.3">
      <c r="D114" s="47"/>
      <c r="E114" s="60"/>
      <c r="F114" s="54"/>
      <c r="G114" s="54"/>
      <c r="H114" s="54"/>
      <c r="I114" s="54"/>
      <c r="J114" s="54"/>
    </row>
    <row r="115" spans="4:10" x14ac:dyDescent="0.3">
      <c r="F115" s="54"/>
      <c r="G115" s="54"/>
      <c r="H115" s="54"/>
      <c r="I115" s="54"/>
      <c r="J115" s="54"/>
    </row>
    <row r="116" spans="4:10" x14ac:dyDescent="0.3">
      <c r="F116" s="54"/>
      <c r="G116" s="54"/>
      <c r="H116" s="54"/>
      <c r="I116" s="54"/>
      <c r="J116" s="54"/>
    </row>
    <row r="117" spans="4:10" x14ac:dyDescent="0.3">
      <c r="F117" s="54"/>
      <c r="G117" s="54"/>
      <c r="H117" s="54"/>
      <c r="I117" s="54"/>
      <c r="J117" s="54"/>
    </row>
    <row r="118" spans="4:10" x14ac:dyDescent="0.3">
      <c r="F118" s="54"/>
      <c r="G118" s="54"/>
      <c r="H118" s="54"/>
      <c r="I118" s="54"/>
      <c r="J118" s="54"/>
    </row>
    <row r="119" spans="4:10" x14ac:dyDescent="0.3">
      <c r="F119" s="54"/>
      <c r="G119" s="54"/>
      <c r="H119" s="54"/>
      <c r="I119" s="54"/>
      <c r="J119" s="54"/>
    </row>
    <row r="120" spans="4:10" x14ac:dyDescent="0.3">
      <c r="F120" s="54"/>
      <c r="G120" s="54"/>
      <c r="H120" s="54"/>
      <c r="I120" s="54"/>
      <c r="J120" s="54"/>
    </row>
    <row r="121" spans="4:10" x14ac:dyDescent="0.3">
      <c r="F121" s="54"/>
      <c r="G121" s="54"/>
      <c r="H121" s="54"/>
      <c r="I121" s="54"/>
      <c r="J121" s="54"/>
    </row>
    <row r="122" spans="4:10" x14ac:dyDescent="0.3">
      <c r="F122" s="54"/>
      <c r="G122" s="54"/>
      <c r="H122" s="54"/>
      <c r="I122" s="54"/>
      <c r="J122" s="54"/>
    </row>
    <row r="123" spans="4:10" x14ac:dyDescent="0.3">
      <c r="F123" s="54"/>
      <c r="G123" s="54"/>
      <c r="H123" s="54"/>
      <c r="I123" s="54"/>
      <c r="J123" s="54"/>
    </row>
    <row r="124" spans="4:10" x14ac:dyDescent="0.3">
      <c r="F124" s="54"/>
      <c r="G124" s="54"/>
      <c r="H124" s="54"/>
      <c r="I124" s="54"/>
      <c r="J124" s="54"/>
    </row>
    <row r="125" spans="4:10" x14ac:dyDescent="0.3">
      <c r="F125" s="54"/>
      <c r="G125" s="54"/>
      <c r="H125" s="54"/>
      <c r="I125" s="54"/>
      <c r="J125" s="54"/>
    </row>
    <row r="126" spans="4:10" x14ac:dyDescent="0.3">
      <c r="F126" s="54"/>
      <c r="G126" s="54"/>
      <c r="H126" s="54"/>
      <c r="I126" s="54"/>
      <c r="J126" s="54"/>
    </row>
    <row r="127" spans="4:10" x14ac:dyDescent="0.3">
      <c r="F127" s="54"/>
      <c r="G127" s="54"/>
      <c r="H127" s="54"/>
      <c r="I127" s="54"/>
      <c r="J127" s="54"/>
    </row>
    <row r="128" spans="4:10" x14ac:dyDescent="0.3">
      <c r="F128" s="54"/>
      <c r="G128" s="54"/>
      <c r="H128" s="54"/>
      <c r="I128" s="54"/>
      <c r="J128" s="54"/>
    </row>
    <row r="129" spans="6:10" x14ac:dyDescent="0.3">
      <c r="F129" s="54"/>
      <c r="G129" s="54"/>
      <c r="H129" s="54"/>
      <c r="I129" s="54"/>
      <c r="J129" s="54"/>
    </row>
    <row r="130" spans="6:10" x14ac:dyDescent="0.3">
      <c r="F130" s="54"/>
      <c r="G130" s="54"/>
      <c r="H130" s="54"/>
      <c r="I130" s="54"/>
      <c r="J130" s="54"/>
    </row>
    <row r="131" spans="6:10" x14ac:dyDescent="0.3">
      <c r="F131" s="54"/>
      <c r="G131" s="54"/>
      <c r="H131" s="54"/>
      <c r="I131" s="54"/>
      <c r="J131" s="54"/>
    </row>
    <row r="132" spans="6:10" x14ac:dyDescent="0.3">
      <c r="F132" s="54"/>
      <c r="G132" s="54"/>
      <c r="H132" s="54"/>
      <c r="I132" s="54"/>
      <c r="J132" s="54"/>
    </row>
    <row r="133" spans="6:10" x14ac:dyDescent="0.3">
      <c r="F133" s="54"/>
      <c r="G133" s="54"/>
      <c r="H133" s="54"/>
      <c r="I133" s="54"/>
      <c r="J133" s="54"/>
    </row>
    <row r="134" spans="6:10" x14ac:dyDescent="0.3">
      <c r="F134" s="54"/>
      <c r="G134" s="54"/>
      <c r="H134" s="54"/>
      <c r="I134" s="54"/>
      <c r="J134" s="54"/>
    </row>
    <row r="135" spans="6:10" x14ac:dyDescent="0.3">
      <c r="F135" s="54"/>
      <c r="G135" s="54"/>
      <c r="H135" s="54"/>
      <c r="I135" s="54"/>
      <c r="J135" s="54"/>
    </row>
    <row r="136" spans="6:10" x14ac:dyDescent="0.3">
      <c r="F136" s="54"/>
      <c r="G136" s="54"/>
      <c r="H136" s="54"/>
      <c r="I136" s="54"/>
      <c r="J136" s="54"/>
    </row>
    <row r="137" spans="6:10" x14ac:dyDescent="0.3">
      <c r="F137" s="54"/>
      <c r="G137" s="54"/>
      <c r="H137" s="54"/>
      <c r="I137" s="54"/>
      <c r="J137" s="54"/>
    </row>
    <row r="138" spans="6:10" x14ac:dyDescent="0.3">
      <c r="F138" s="54"/>
      <c r="G138" s="54"/>
      <c r="H138" s="54"/>
      <c r="I138" s="54"/>
      <c r="J138" s="54"/>
    </row>
    <row r="139" spans="6:10" x14ac:dyDescent="0.3">
      <c r="F139" s="54"/>
      <c r="G139" s="54"/>
      <c r="H139" s="54"/>
      <c r="I139" s="54"/>
      <c r="J139" s="54"/>
    </row>
    <row r="140" spans="6:10" x14ac:dyDescent="0.3">
      <c r="F140" s="54"/>
      <c r="G140" s="54"/>
      <c r="H140" s="54"/>
      <c r="I140" s="54"/>
      <c r="J140" s="54"/>
    </row>
    <row r="141" spans="6:10" x14ac:dyDescent="0.3">
      <c r="F141" s="54"/>
      <c r="G141" s="54"/>
      <c r="H141" s="54"/>
      <c r="I141" s="54"/>
      <c r="J141" s="54"/>
    </row>
    <row r="142" spans="6:10" x14ac:dyDescent="0.3">
      <c r="F142" s="54"/>
      <c r="G142" s="54"/>
      <c r="H142" s="54"/>
      <c r="I142" s="54"/>
      <c r="J142" s="54"/>
    </row>
    <row r="143" spans="6:10" x14ac:dyDescent="0.3">
      <c r="F143" s="54"/>
      <c r="G143" s="54"/>
      <c r="H143" s="54"/>
      <c r="I143" s="54"/>
      <c r="J143" s="54"/>
    </row>
    <row r="144" spans="6:10" x14ac:dyDescent="0.3">
      <c r="F144" s="54"/>
      <c r="G144" s="54"/>
      <c r="H144" s="54"/>
      <c r="I144" s="54"/>
      <c r="J144" s="54"/>
    </row>
    <row r="145" spans="6:10" x14ac:dyDescent="0.3">
      <c r="F145" s="54"/>
      <c r="G145" s="54"/>
      <c r="H145" s="54"/>
      <c r="I145" s="54"/>
      <c r="J145" s="54"/>
    </row>
    <row r="146" spans="6:10" x14ac:dyDescent="0.3">
      <c r="F146" s="54"/>
      <c r="G146" s="54"/>
      <c r="H146" s="54"/>
      <c r="I146" s="54"/>
      <c r="J146" s="54"/>
    </row>
    <row r="147" spans="6:10" x14ac:dyDescent="0.3">
      <c r="F147" s="54"/>
      <c r="G147" s="54"/>
      <c r="H147" s="54"/>
      <c r="I147" s="54"/>
      <c r="J147" s="54"/>
    </row>
    <row r="148" spans="6:10" x14ac:dyDescent="0.3">
      <c r="F148" s="54"/>
      <c r="G148" s="54"/>
      <c r="H148" s="54"/>
      <c r="I148" s="54"/>
      <c r="J148" s="54"/>
    </row>
    <row r="149" spans="6:10" x14ac:dyDescent="0.3">
      <c r="F149" s="54"/>
      <c r="G149" s="54"/>
      <c r="H149" s="54"/>
      <c r="I149" s="54"/>
      <c r="J149" s="54"/>
    </row>
    <row r="150" spans="6:10" x14ac:dyDescent="0.3">
      <c r="F150" s="54"/>
      <c r="G150" s="54"/>
      <c r="H150" s="54"/>
      <c r="I150" s="54"/>
      <c r="J150" s="54"/>
    </row>
    <row r="151" spans="6:10" x14ac:dyDescent="0.3">
      <c r="F151" s="54"/>
      <c r="G151" s="54"/>
      <c r="H151" s="54"/>
      <c r="I151" s="54"/>
      <c r="J151" s="54"/>
    </row>
    <row r="152" spans="6:10" x14ac:dyDescent="0.3">
      <c r="F152" s="54"/>
      <c r="G152" s="54"/>
      <c r="H152" s="54"/>
      <c r="I152" s="54"/>
      <c r="J152" s="54"/>
    </row>
    <row r="153" spans="6:10" x14ac:dyDescent="0.3">
      <c r="F153" s="54"/>
      <c r="G153" s="54"/>
      <c r="H153" s="54"/>
      <c r="I153" s="54"/>
      <c r="J153" s="54"/>
    </row>
    <row r="154" spans="6:10" x14ac:dyDescent="0.3">
      <c r="F154" s="54"/>
      <c r="G154" s="54"/>
      <c r="H154" s="54"/>
      <c r="I154" s="54"/>
      <c r="J154" s="54"/>
    </row>
    <row r="155" spans="6:10" x14ac:dyDescent="0.3">
      <c r="F155" s="54"/>
      <c r="G155" s="54"/>
      <c r="H155" s="54"/>
      <c r="I155" s="54"/>
      <c r="J155" s="54"/>
    </row>
    <row r="156" spans="6:10" x14ac:dyDescent="0.3">
      <c r="F156" s="54"/>
      <c r="G156" s="54"/>
      <c r="H156" s="54"/>
      <c r="I156" s="54"/>
      <c r="J156" s="54"/>
    </row>
    <row r="157" spans="6:10" x14ac:dyDescent="0.3">
      <c r="F157" s="54"/>
      <c r="G157" s="54"/>
      <c r="H157" s="54"/>
      <c r="I157" s="54"/>
      <c r="J157" s="54"/>
    </row>
    <row r="158" spans="6:10" x14ac:dyDescent="0.3">
      <c r="F158" s="54"/>
      <c r="G158" s="54"/>
      <c r="H158" s="54"/>
      <c r="I158" s="54"/>
      <c r="J158" s="54"/>
    </row>
    <row r="159" spans="6:10" x14ac:dyDescent="0.3">
      <c r="F159" s="54"/>
      <c r="G159" s="54"/>
      <c r="H159" s="54"/>
      <c r="I159" s="54"/>
      <c r="J159" s="54"/>
    </row>
    <row r="160" spans="6:10" x14ac:dyDescent="0.3">
      <c r="F160" s="54"/>
      <c r="G160" s="54"/>
      <c r="H160" s="54"/>
      <c r="I160" s="54"/>
      <c r="J160" s="54"/>
    </row>
    <row r="161" spans="6:10" x14ac:dyDescent="0.3">
      <c r="F161" s="54"/>
      <c r="G161" s="54"/>
      <c r="H161" s="54"/>
      <c r="I161" s="54"/>
      <c r="J161" s="54"/>
    </row>
    <row r="162" spans="6:10" x14ac:dyDescent="0.3">
      <c r="F162" s="54"/>
      <c r="G162" s="54"/>
      <c r="H162" s="54"/>
      <c r="I162" s="54"/>
      <c r="J162" s="54"/>
    </row>
    <row r="163" spans="6:10" x14ac:dyDescent="0.3">
      <c r="F163" s="54"/>
      <c r="G163" s="54"/>
      <c r="H163" s="54"/>
      <c r="I163" s="54"/>
      <c r="J163" s="54"/>
    </row>
    <row r="164" spans="6:10" x14ac:dyDescent="0.3">
      <c r="F164" s="54"/>
      <c r="G164" s="54"/>
      <c r="H164" s="54"/>
      <c r="I164" s="54"/>
      <c r="J164" s="54"/>
    </row>
    <row r="165" spans="6:10" x14ac:dyDescent="0.3">
      <c r="F165" s="54"/>
      <c r="G165" s="54"/>
      <c r="H165" s="54"/>
      <c r="I165" s="54"/>
      <c r="J165" s="54"/>
    </row>
    <row r="166" spans="6:10" x14ac:dyDescent="0.3">
      <c r="F166" s="54"/>
      <c r="G166" s="54"/>
      <c r="H166" s="54"/>
      <c r="I166" s="54"/>
      <c r="J166" s="54"/>
    </row>
    <row r="167" spans="6:10" x14ac:dyDescent="0.3">
      <c r="F167" s="54"/>
      <c r="G167" s="54"/>
      <c r="H167" s="54"/>
      <c r="I167" s="54"/>
      <c r="J167" s="54"/>
    </row>
    <row r="168" spans="6:10" x14ac:dyDescent="0.3">
      <c r="F168" s="54"/>
      <c r="G168" s="54"/>
      <c r="H168" s="54"/>
      <c r="I168" s="54"/>
      <c r="J168" s="54"/>
    </row>
    <row r="169" spans="6:10" x14ac:dyDescent="0.3">
      <c r="F169" s="54"/>
      <c r="G169" s="54"/>
      <c r="H169" s="54"/>
      <c r="I169" s="54"/>
      <c r="J169" s="54"/>
    </row>
    <row r="170" spans="6:10" x14ac:dyDescent="0.3">
      <c r="F170" s="54"/>
      <c r="G170" s="54"/>
      <c r="H170" s="54"/>
      <c r="I170" s="54"/>
      <c r="J170" s="54"/>
    </row>
    <row r="171" spans="6:10" x14ac:dyDescent="0.3">
      <c r="F171" s="54"/>
      <c r="G171" s="54"/>
      <c r="H171" s="54"/>
      <c r="I171" s="54"/>
      <c r="J171" s="54"/>
    </row>
    <row r="172" spans="6:10" x14ac:dyDescent="0.3">
      <c r="F172" s="54"/>
      <c r="G172" s="54"/>
      <c r="H172" s="54"/>
      <c r="I172" s="54"/>
      <c r="J172" s="54"/>
    </row>
    <row r="173" spans="6:10" x14ac:dyDescent="0.3">
      <c r="F173" s="54"/>
      <c r="G173" s="54"/>
      <c r="H173" s="54"/>
      <c r="I173" s="54"/>
      <c r="J173" s="54"/>
    </row>
    <row r="174" spans="6:10" x14ac:dyDescent="0.3">
      <c r="F174" s="54"/>
      <c r="G174" s="54"/>
      <c r="H174" s="54"/>
      <c r="I174" s="54"/>
      <c r="J174" s="54"/>
    </row>
    <row r="175" spans="6:10" x14ac:dyDescent="0.3">
      <c r="F175" s="54"/>
      <c r="G175" s="54"/>
      <c r="H175" s="54"/>
      <c r="I175" s="54"/>
      <c r="J175" s="54"/>
    </row>
    <row r="176" spans="6:10" x14ac:dyDescent="0.3">
      <c r="F176" s="54"/>
      <c r="G176" s="54"/>
      <c r="H176" s="54"/>
      <c r="I176" s="54"/>
      <c r="J176" s="54"/>
    </row>
    <row r="177" spans="6:10" x14ac:dyDescent="0.3">
      <c r="F177" s="54"/>
      <c r="G177" s="54"/>
      <c r="H177" s="54"/>
      <c r="I177" s="54"/>
      <c r="J177" s="54"/>
    </row>
    <row r="178" spans="6:10" x14ac:dyDescent="0.3">
      <c r="F178" s="54"/>
      <c r="G178" s="54"/>
      <c r="H178" s="54"/>
      <c r="I178" s="54"/>
      <c r="J178" s="54"/>
    </row>
    <row r="179" spans="6:10" x14ac:dyDescent="0.3">
      <c r="F179" s="54"/>
      <c r="G179" s="54"/>
      <c r="H179" s="54"/>
      <c r="I179" s="54"/>
      <c r="J179" s="54"/>
    </row>
    <row r="180" spans="6:10" x14ac:dyDescent="0.3">
      <c r="F180" s="54"/>
      <c r="G180" s="54"/>
      <c r="H180" s="54"/>
      <c r="I180" s="54"/>
      <c r="J180" s="54"/>
    </row>
    <row r="181" spans="6:10" x14ac:dyDescent="0.3">
      <c r="F181" s="54"/>
      <c r="G181" s="54"/>
      <c r="H181" s="54"/>
      <c r="I181" s="54"/>
      <c r="J181" s="54"/>
    </row>
    <row r="182" spans="6:10" x14ac:dyDescent="0.3">
      <c r="F182" s="54"/>
      <c r="G182" s="54"/>
      <c r="H182" s="54"/>
      <c r="I182" s="54"/>
      <c r="J182" s="54"/>
    </row>
    <row r="183" spans="6:10" x14ac:dyDescent="0.3">
      <c r="F183" s="54"/>
      <c r="G183" s="54"/>
      <c r="H183" s="54"/>
      <c r="I183" s="54"/>
      <c r="J183" s="54"/>
    </row>
    <row r="184" spans="6:10" x14ac:dyDescent="0.3">
      <c r="F184" s="54"/>
      <c r="G184" s="54"/>
      <c r="H184" s="54"/>
      <c r="I184" s="54"/>
      <c r="J184" s="54"/>
    </row>
    <row r="185" spans="6:10" x14ac:dyDescent="0.3">
      <c r="F185" s="54"/>
      <c r="G185" s="54"/>
      <c r="H185" s="54"/>
      <c r="I185" s="54"/>
      <c r="J185" s="54"/>
    </row>
    <row r="186" spans="6:10" x14ac:dyDescent="0.3">
      <c r="F186" s="54"/>
      <c r="G186" s="54"/>
      <c r="H186" s="54"/>
      <c r="I186" s="54"/>
      <c r="J186" s="54"/>
    </row>
    <row r="187" spans="6:10" x14ac:dyDescent="0.3">
      <c r="F187" s="54"/>
      <c r="G187" s="54"/>
      <c r="H187" s="54"/>
      <c r="I187" s="54"/>
      <c r="J187" s="54"/>
    </row>
    <row r="188" spans="6:10" x14ac:dyDescent="0.3">
      <c r="F188" s="54"/>
      <c r="G188" s="54"/>
      <c r="H188" s="54"/>
      <c r="I188" s="54"/>
      <c r="J188" s="54"/>
    </row>
    <row r="189" spans="6:10" x14ac:dyDescent="0.3">
      <c r="F189" s="54"/>
      <c r="G189" s="54"/>
      <c r="H189" s="54"/>
      <c r="I189" s="54"/>
      <c r="J189" s="54"/>
    </row>
    <row r="190" spans="6:10" x14ac:dyDescent="0.3">
      <c r="F190" s="54"/>
      <c r="G190" s="54"/>
      <c r="H190" s="54"/>
      <c r="I190" s="54"/>
      <c r="J190" s="54"/>
    </row>
    <row r="191" spans="6:10" x14ac:dyDescent="0.3">
      <c r="F191" s="54"/>
      <c r="G191" s="54"/>
      <c r="H191" s="54"/>
      <c r="I191" s="54"/>
      <c r="J191" s="54"/>
    </row>
    <row r="192" spans="6:10" x14ac:dyDescent="0.3">
      <c r="F192" s="54"/>
      <c r="G192" s="54"/>
      <c r="H192" s="54"/>
      <c r="I192" s="54"/>
      <c r="J192" s="54"/>
    </row>
    <row r="193" spans="6:10" x14ac:dyDescent="0.3">
      <c r="F193" s="54"/>
      <c r="G193" s="54"/>
      <c r="H193" s="54"/>
      <c r="I193" s="54"/>
      <c r="J193" s="54"/>
    </row>
    <row r="194" spans="6:10" x14ac:dyDescent="0.3">
      <c r="F194" s="54"/>
      <c r="G194" s="54"/>
      <c r="H194" s="54"/>
      <c r="I194" s="54"/>
      <c r="J194" s="54"/>
    </row>
    <row r="195" spans="6:10" x14ac:dyDescent="0.3">
      <c r="F195" s="54"/>
      <c r="G195" s="54"/>
      <c r="H195" s="54"/>
      <c r="I195" s="54"/>
      <c r="J195" s="54"/>
    </row>
    <row r="196" spans="6:10" x14ac:dyDescent="0.3">
      <c r="F196" s="54"/>
      <c r="G196" s="54"/>
      <c r="H196" s="54"/>
      <c r="I196" s="54"/>
      <c r="J196" s="54"/>
    </row>
    <row r="197" spans="6:10" x14ac:dyDescent="0.3">
      <c r="F197" s="54"/>
      <c r="G197" s="54"/>
      <c r="H197" s="54"/>
      <c r="I197" s="54"/>
      <c r="J197" s="54"/>
    </row>
    <row r="198" spans="6:10" x14ac:dyDescent="0.3">
      <c r="F198" s="54"/>
      <c r="G198" s="54"/>
      <c r="H198" s="54"/>
      <c r="I198" s="54"/>
      <c r="J198" s="54"/>
    </row>
    <row r="199" spans="6:10" x14ac:dyDescent="0.3">
      <c r="F199" s="54"/>
      <c r="G199" s="54"/>
      <c r="H199" s="54"/>
      <c r="I199" s="54"/>
      <c r="J199" s="54"/>
    </row>
    <row r="200" spans="6:10" x14ac:dyDescent="0.3">
      <c r="F200" s="54"/>
      <c r="G200" s="54"/>
      <c r="H200" s="54"/>
      <c r="I200" s="54"/>
      <c r="J200" s="54"/>
    </row>
    <row r="201" spans="6:10" x14ac:dyDescent="0.3">
      <c r="F201" s="54"/>
      <c r="G201" s="54"/>
      <c r="H201" s="54"/>
      <c r="I201" s="54"/>
      <c r="J201" s="54"/>
    </row>
    <row r="202" spans="6:10" x14ac:dyDescent="0.3">
      <c r="F202" s="54"/>
      <c r="G202" s="54"/>
      <c r="H202" s="54"/>
      <c r="I202" s="54"/>
      <c r="J202" s="54"/>
    </row>
    <row r="203" spans="6:10" x14ac:dyDescent="0.3">
      <c r="F203" s="54"/>
      <c r="G203" s="54"/>
      <c r="H203" s="54"/>
      <c r="I203" s="54"/>
      <c r="J203" s="54"/>
    </row>
    <row r="204" spans="6:10" x14ac:dyDescent="0.3">
      <c r="F204" s="54"/>
      <c r="G204" s="54"/>
      <c r="H204" s="54"/>
      <c r="I204" s="54"/>
      <c r="J204" s="54"/>
    </row>
    <row r="205" spans="6:10" x14ac:dyDescent="0.3">
      <c r="F205" s="54"/>
      <c r="G205" s="54"/>
      <c r="H205" s="54"/>
      <c r="I205" s="54"/>
      <c r="J205" s="54"/>
    </row>
    <row r="206" spans="6:10" x14ac:dyDescent="0.3">
      <c r="F206" s="54"/>
      <c r="G206" s="54"/>
      <c r="H206" s="54"/>
      <c r="I206" s="54"/>
      <c r="J206" s="54"/>
    </row>
    <row r="207" spans="6:10" x14ac:dyDescent="0.3">
      <c r="F207" s="54"/>
      <c r="G207" s="54"/>
      <c r="H207" s="54"/>
      <c r="I207" s="54"/>
      <c r="J207" s="54"/>
    </row>
    <row r="208" spans="6:10" x14ac:dyDescent="0.3">
      <c r="F208" s="54"/>
      <c r="G208" s="54"/>
      <c r="H208" s="54"/>
      <c r="I208" s="54"/>
      <c r="J208" s="54"/>
    </row>
    <row r="209" spans="6:10" x14ac:dyDescent="0.3">
      <c r="F209" s="54"/>
      <c r="G209" s="54"/>
      <c r="H209" s="54"/>
      <c r="I209" s="54"/>
      <c r="J209" s="54"/>
    </row>
    <row r="210" spans="6:10" x14ac:dyDescent="0.3">
      <c r="F210" s="54"/>
      <c r="G210" s="54"/>
      <c r="H210" s="54"/>
      <c r="I210" s="54"/>
      <c r="J210" s="54"/>
    </row>
    <row r="211" spans="6:10" x14ac:dyDescent="0.3">
      <c r="F211" s="54"/>
      <c r="G211" s="54"/>
      <c r="H211" s="54"/>
      <c r="I211" s="54"/>
      <c r="J211" s="54"/>
    </row>
    <row r="212" spans="6:10" x14ac:dyDescent="0.3">
      <c r="F212" s="54"/>
      <c r="G212" s="54"/>
      <c r="H212" s="54"/>
      <c r="I212" s="54"/>
      <c r="J212" s="54"/>
    </row>
    <row r="213" spans="6:10" x14ac:dyDescent="0.3">
      <c r="F213" s="54"/>
      <c r="G213" s="54"/>
      <c r="H213" s="54"/>
      <c r="I213" s="54"/>
      <c r="J213" s="54"/>
    </row>
    <row r="214" spans="6:10" x14ac:dyDescent="0.3">
      <c r="F214" s="54"/>
      <c r="G214" s="54"/>
      <c r="H214" s="54"/>
      <c r="I214" s="54"/>
      <c r="J214" s="54"/>
    </row>
    <row r="215" spans="6:10" x14ac:dyDescent="0.3">
      <c r="F215" s="54"/>
      <c r="G215" s="54"/>
      <c r="H215" s="54"/>
      <c r="I215" s="54"/>
      <c r="J215" s="54"/>
    </row>
    <row r="216" spans="6:10" x14ac:dyDescent="0.3">
      <c r="F216" s="54"/>
      <c r="G216" s="54"/>
      <c r="H216" s="54"/>
      <c r="I216" s="54"/>
      <c r="J216" s="54"/>
    </row>
    <row r="217" spans="6:10" x14ac:dyDescent="0.3">
      <c r="F217" s="54"/>
      <c r="G217" s="54"/>
      <c r="H217" s="54"/>
      <c r="I217" s="54"/>
      <c r="J217" s="54"/>
    </row>
    <row r="218" spans="6:10" x14ac:dyDescent="0.3">
      <c r="F218" s="54"/>
      <c r="G218" s="54"/>
      <c r="H218" s="54"/>
      <c r="I218" s="54"/>
      <c r="J218" s="54"/>
    </row>
    <row r="219" spans="6:10" x14ac:dyDescent="0.3">
      <c r="F219" s="54"/>
      <c r="G219" s="54"/>
      <c r="H219" s="54"/>
      <c r="I219" s="54"/>
      <c r="J219" s="54"/>
    </row>
    <row r="220" spans="6:10" x14ac:dyDescent="0.3">
      <c r="F220" s="54"/>
      <c r="G220" s="54"/>
      <c r="H220" s="54"/>
      <c r="I220" s="54"/>
      <c r="J220" s="54"/>
    </row>
  </sheetData>
  <autoFilter ref="A3:S220" xr:uid="{3F071A9F-7D8C-482A-A1BF-2CC6DF555297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280C-616F-4435-A8AA-F5AC6625BA32}">
  <dimension ref="A3:D93"/>
  <sheetViews>
    <sheetView zoomScale="90" zoomScaleNormal="90" workbookViewId="0">
      <pane xSplit="2" ySplit="3" topLeftCell="C51" activePane="bottomRight" state="frozen"/>
      <selection pane="topRight" activeCell="C1" sqref="C1"/>
      <selection pane="bottomLeft" activeCell="A4" sqref="A4"/>
      <selection pane="bottomRight" activeCell="H62" sqref="H62"/>
    </sheetView>
  </sheetViews>
  <sheetFormatPr defaultColWidth="9.109375" defaultRowHeight="15.6" x14ac:dyDescent="0.3"/>
  <cols>
    <col min="1" max="1" width="9.33203125" style="66" bestFit="1" customWidth="1"/>
    <col min="2" max="2" width="47" style="66" customWidth="1"/>
    <col min="3" max="3" width="58.44140625" style="66" bestFit="1" customWidth="1"/>
    <col min="4" max="4" width="15.88671875" style="67" bestFit="1" customWidth="1"/>
    <col min="5" max="16384" width="9.109375" style="66"/>
  </cols>
  <sheetData>
    <row r="3" spans="1:4" x14ac:dyDescent="0.3">
      <c r="A3" s="64" t="s">
        <v>103</v>
      </c>
      <c r="B3" s="64" t="s">
        <v>0</v>
      </c>
      <c r="C3" s="64" t="s">
        <v>0</v>
      </c>
      <c r="D3" s="65" t="s">
        <v>96</v>
      </c>
    </row>
    <row r="4" spans="1:4" x14ac:dyDescent="0.3">
      <c r="A4" s="66">
        <v>2020</v>
      </c>
      <c r="B4" s="66" t="s">
        <v>1</v>
      </c>
      <c r="C4" s="66" t="s">
        <v>2</v>
      </c>
      <c r="D4" s="67">
        <v>113644666.37</v>
      </c>
    </row>
    <row r="5" spans="1:4" x14ac:dyDescent="0.3">
      <c r="A5" s="66">
        <v>2020</v>
      </c>
      <c r="B5" s="66" t="s">
        <v>3</v>
      </c>
      <c r="C5" s="66" t="s">
        <v>4</v>
      </c>
      <c r="D5" s="67">
        <v>11885345.9</v>
      </c>
    </row>
    <row r="6" spans="1:4" x14ac:dyDescent="0.3">
      <c r="A6" s="66">
        <v>2020</v>
      </c>
      <c r="B6" s="66" t="s">
        <v>193</v>
      </c>
      <c r="C6" s="66" t="s">
        <v>150</v>
      </c>
      <c r="D6" s="67">
        <v>302737.3899999999</v>
      </c>
    </row>
    <row r="7" spans="1:4" x14ac:dyDescent="0.3">
      <c r="A7" s="66">
        <v>2020</v>
      </c>
      <c r="B7" s="66" t="s">
        <v>194</v>
      </c>
      <c r="C7" s="66" t="s">
        <v>151</v>
      </c>
      <c r="D7" s="67">
        <v>27085181.400000002</v>
      </c>
    </row>
    <row r="8" spans="1:4" x14ac:dyDescent="0.3">
      <c r="A8" s="66">
        <v>2020</v>
      </c>
      <c r="B8" s="66" t="s">
        <v>5</v>
      </c>
      <c r="C8" s="66" t="s">
        <v>6</v>
      </c>
      <c r="D8" s="67">
        <v>152917930.06</v>
      </c>
    </row>
    <row r="9" spans="1:4" x14ac:dyDescent="0.3">
      <c r="A9" s="66">
        <v>2020</v>
      </c>
      <c r="B9" s="66" t="s">
        <v>195</v>
      </c>
      <c r="C9" s="66" t="s">
        <v>152</v>
      </c>
      <c r="D9" s="67">
        <v>22285770.819999997</v>
      </c>
    </row>
    <row r="10" spans="1:4" x14ac:dyDescent="0.3">
      <c r="A10" s="66">
        <v>2020</v>
      </c>
      <c r="B10" s="66" t="s">
        <v>7</v>
      </c>
      <c r="C10" s="66" t="s">
        <v>153</v>
      </c>
      <c r="D10" s="67">
        <v>36839898.379999995</v>
      </c>
    </row>
    <row r="11" spans="1:4" x14ac:dyDescent="0.3">
      <c r="A11" s="66">
        <v>2020</v>
      </c>
      <c r="B11" s="66" t="s">
        <v>196</v>
      </c>
      <c r="C11" s="66" t="s">
        <v>197</v>
      </c>
      <c r="D11" s="67">
        <v>0</v>
      </c>
    </row>
    <row r="12" spans="1:4" x14ac:dyDescent="0.3">
      <c r="A12" s="66">
        <v>2020</v>
      </c>
      <c r="B12" s="66" t="s">
        <v>198</v>
      </c>
      <c r="C12" s="66" t="s">
        <v>154</v>
      </c>
      <c r="D12" s="67">
        <v>570774.49</v>
      </c>
    </row>
    <row r="13" spans="1:4" x14ac:dyDescent="0.3">
      <c r="A13" s="66">
        <v>2020</v>
      </c>
      <c r="B13" s="66" t="s">
        <v>199</v>
      </c>
      <c r="C13" s="66" t="s">
        <v>155</v>
      </c>
      <c r="D13" s="67">
        <v>1080363.21</v>
      </c>
    </row>
    <row r="14" spans="1:4" x14ac:dyDescent="0.3">
      <c r="A14" s="66">
        <v>2020</v>
      </c>
      <c r="B14" s="66" t="s">
        <v>200</v>
      </c>
      <c r="C14" s="66" t="s">
        <v>156</v>
      </c>
      <c r="D14" s="67">
        <v>17588598.129999999</v>
      </c>
    </row>
    <row r="15" spans="1:4" x14ac:dyDescent="0.3">
      <c r="A15" s="66">
        <v>2020</v>
      </c>
      <c r="B15" s="66" t="s">
        <v>157</v>
      </c>
      <c r="C15" s="66" t="s">
        <v>158</v>
      </c>
      <c r="D15" s="67">
        <v>70844.84</v>
      </c>
    </row>
    <row r="16" spans="1:4" x14ac:dyDescent="0.3">
      <c r="A16" s="66">
        <v>2020</v>
      </c>
      <c r="B16" s="66" t="s">
        <v>8</v>
      </c>
      <c r="C16" s="66" t="s">
        <v>9</v>
      </c>
      <c r="D16" s="67">
        <v>78436250.86999999</v>
      </c>
    </row>
    <row r="17" spans="1:4" x14ac:dyDescent="0.3">
      <c r="A17" s="66">
        <v>2020</v>
      </c>
      <c r="B17" s="66" t="s">
        <v>10</v>
      </c>
      <c r="C17" s="66" t="s">
        <v>11</v>
      </c>
      <c r="D17" s="67">
        <v>231354180.93000001</v>
      </c>
    </row>
    <row r="18" spans="1:4" x14ac:dyDescent="0.3">
      <c r="A18" s="66">
        <v>2020</v>
      </c>
      <c r="B18" s="66" t="s">
        <v>12</v>
      </c>
      <c r="C18" s="66" t="s">
        <v>13</v>
      </c>
      <c r="D18" s="67">
        <v>26412209.600000001</v>
      </c>
    </row>
    <row r="19" spans="1:4" x14ac:dyDescent="0.3">
      <c r="A19" s="66">
        <v>2020</v>
      </c>
      <c r="B19" s="66" t="s">
        <v>201</v>
      </c>
      <c r="C19" s="66" t="s">
        <v>14</v>
      </c>
      <c r="D19" s="67">
        <v>2182283.29</v>
      </c>
    </row>
    <row r="20" spans="1:4" x14ac:dyDescent="0.3">
      <c r="A20" s="66">
        <v>2020</v>
      </c>
      <c r="B20" s="66" t="s">
        <v>15</v>
      </c>
      <c r="C20" s="66" t="s">
        <v>159</v>
      </c>
      <c r="D20" s="67">
        <v>59466596.82</v>
      </c>
    </row>
    <row r="21" spans="1:4" x14ac:dyDescent="0.3">
      <c r="A21" s="66">
        <v>2020</v>
      </c>
      <c r="B21" s="66" t="s">
        <v>16</v>
      </c>
      <c r="C21" s="66" t="s">
        <v>17</v>
      </c>
      <c r="D21" s="67">
        <v>50151452.529999994</v>
      </c>
    </row>
    <row r="22" spans="1:4" x14ac:dyDescent="0.3">
      <c r="A22" s="66">
        <v>2020</v>
      </c>
      <c r="B22" s="66" t="s">
        <v>18</v>
      </c>
      <c r="C22" s="66" t="s">
        <v>202</v>
      </c>
      <c r="D22" s="67">
        <v>138212543.24000001</v>
      </c>
    </row>
    <row r="23" spans="1:4" x14ac:dyDescent="0.3">
      <c r="A23" s="66">
        <v>2020</v>
      </c>
      <c r="B23" s="66" t="s">
        <v>203</v>
      </c>
      <c r="C23" s="66" t="s">
        <v>204</v>
      </c>
      <c r="D23" s="67">
        <v>200000</v>
      </c>
    </row>
    <row r="24" spans="1:4" x14ac:dyDescent="0.3">
      <c r="A24" s="66">
        <v>2020</v>
      </c>
      <c r="B24" s="66" t="s">
        <v>205</v>
      </c>
      <c r="C24" s="66" t="s">
        <v>20</v>
      </c>
      <c r="D24" s="67">
        <v>7857468</v>
      </c>
    </row>
    <row r="25" spans="1:4" x14ac:dyDescent="0.3">
      <c r="A25" s="66">
        <v>2020</v>
      </c>
      <c r="B25" s="66" t="s">
        <v>160</v>
      </c>
      <c r="C25" s="66" t="s">
        <v>161</v>
      </c>
      <c r="D25" s="67">
        <v>6420472.3300000001</v>
      </c>
    </row>
    <row r="26" spans="1:4" x14ac:dyDescent="0.3">
      <c r="A26" s="66">
        <v>2020</v>
      </c>
      <c r="B26" s="66" t="s">
        <v>206</v>
      </c>
      <c r="C26" s="66" t="s">
        <v>162</v>
      </c>
      <c r="D26" s="67">
        <v>10879379.199999999</v>
      </c>
    </row>
    <row r="27" spans="1:4" x14ac:dyDescent="0.3">
      <c r="A27" s="66">
        <v>2020</v>
      </c>
      <c r="B27" s="66" t="s">
        <v>21</v>
      </c>
      <c r="C27" s="66" t="s">
        <v>22</v>
      </c>
      <c r="D27" s="67">
        <v>25357318.530000001</v>
      </c>
    </row>
    <row r="28" spans="1:4" x14ac:dyDescent="0.3">
      <c r="A28" s="66">
        <v>2020</v>
      </c>
      <c r="B28" s="66" t="s">
        <v>163</v>
      </c>
      <c r="C28" s="66" t="s">
        <v>207</v>
      </c>
      <c r="D28" s="67">
        <v>26129532.000000004</v>
      </c>
    </row>
    <row r="29" spans="1:4" x14ac:dyDescent="0.3">
      <c r="A29" s="66">
        <v>2020</v>
      </c>
      <c r="B29" s="66" t="s">
        <v>164</v>
      </c>
      <c r="C29" s="66" t="s">
        <v>165</v>
      </c>
      <c r="D29" s="67">
        <v>37277228.120000005</v>
      </c>
    </row>
    <row r="30" spans="1:4" x14ac:dyDescent="0.3">
      <c r="A30" s="66">
        <v>2020</v>
      </c>
      <c r="B30" s="66" t="s">
        <v>166</v>
      </c>
      <c r="C30" s="66" t="s">
        <v>167</v>
      </c>
      <c r="D30" s="67">
        <v>4377559.0299999993</v>
      </c>
    </row>
    <row r="31" spans="1:4" x14ac:dyDescent="0.3">
      <c r="A31" s="66">
        <v>2020</v>
      </c>
      <c r="B31" s="66" t="s">
        <v>23</v>
      </c>
      <c r="C31" s="66" t="s">
        <v>24</v>
      </c>
      <c r="D31" s="67">
        <v>67784319.150000006</v>
      </c>
    </row>
    <row r="32" spans="1:4" x14ac:dyDescent="0.3">
      <c r="A32" s="66">
        <v>2020</v>
      </c>
      <c r="B32" s="66" t="s">
        <v>25</v>
      </c>
      <c r="C32" s="66" t="s">
        <v>26</v>
      </c>
      <c r="D32" s="67">
        <v>93141637.680000007</v>
      </c>
    </row>
    <row r="33" spans="1:4" x14ac:dyDescent="0.3">
      <c r="A33" s="66">
        <v>2020</v>
      </c>
      <c r="B33" s="66" t="s">
        <v>27</v>
      </c>
      <c r="C33" s="66" t="s">
        <v>208</v>
      </c>
      <c r="D33" s="67">
        <v>231354180.92000002</v>
      </c>
    </row>
    <row r="34" spans="1:4" x14ac:dyDescent="0.3">
      <c r="A34" s="66">
        <v>2021</v>
      </c>
      <c r="B34" s="66" t="s">
        <v>1</v>
      </c>
      <c r="C34" s="66" t="s">
        <v>2</v>
      </c>
      <c r="D34" s="67">
        <v>106567874</v>
      </c>
    </row>
    <row r="35" spans="1:4" x14ac:dyDescent="0.3">
      <c r="A35" s="66">
        <v>2021</v>
      </c>
      <c r="B35" s="66" t="s">
        <v>3</v>
      </c>
      <c r="C35" s="66" t="s">
        <v>4</v>
      </c>
      <c r="D35" s="67">
        <v>10894586</v>
      </c>
    </row>
    <row r="36" spans="1:4" x14ac:dyDescent="0.3">
      <c r="A36" s="66">
        <v>2021</v>
      </c>
      <c r="B36" s="66" t="s">
        <v>193</v>
      </c>
      <c r="C36" s="66" t="s">
        <v>150</v>
      </c>
      <c r="D36" s="67">
        <v>294483</v>
      </c>
    </row>
    <row r="37" spans="1:4" x14ac:dyDescent="0.3">
      <c r="A37" s="66">
        <v>2021</v>
      </c>
      <c r="B37" s="66" t="s">
        <v>194</v>
      </c>
      <c r="C37" s="66" t="s">
        <v>151</v>
      </c>
      <c r="D37" s="67">
        <v>20607559</v>
      </c>
    </row>
    <row r="38" spans="1:4" x14ac:dyDescent="0.3">
      <c r="A38" s="66">
        <v>2021</v>
      </c>
      <c r="B38" s="66" t="s">
        <v>5</v>
      </c>
      <c r="C38" s="66" t="s">
        <v>6</v>
      </c>
      <c r="D38" s="67">
        <v>138364502</v>
      </c>
    </row>
    <row r="39" spans="1:4" x14ac:dyDescent="0.3">
      <c r="A39" s="66">
        <v>2021</v>
      </c>
      <c r="B39" s="66" t="s">
        <v>195</v>
      </c>
      <c r="C39" s="66" t="s">
        <v>152</v>
      </c>
      <c r="D39" s="67">
        <v>27647514</v>
      </c>
    </row>
    <row r="40" spans="1:4" x14ac:dyDescent="0.3">
      <c r="A40" s="66">
        <v>2021</v>
      </c>
      <c r="B40" s="66" t="s">
        <v>7</v>
      </c>
      <c r="C40" s="66" t="s">
        <v>153</v>
      </c>
      <c r="D40" s="67">
        <v>57999727</v>
      </c>
    </row>
    <row r="41" spans="1:4" x14ac:dyDescent="0.3">
      <c r="A41" s="66">
        <v>2021</v>
      </c>
      <c r="B41" s="66" t="s">
        <v>196</v>
      </c>
      <c r="C41" s="66" t="s">
        <v>197</v>
      </c>
      <c r="D41" s="67">
        <v>0</v>
      </c>
    </row>
    <row r="42" spans="1:4" x14ac:dyDescent="0.3">
      <c r="A42" s="66">
        <v>2021</v>
      </c>
      <c r="B42" s="66" t="s">
        <v>198</v>
      </c>
      <c r="C42" s="66" t="s">
        <v>154</v>
      </c>
      <c r="D42" s="67">
        <v>1265317</v>
      </c>
    </row>
    <row r="43" spans="1:4" x14ac:dyDescent="0.3">
      <c r="A43" s="66">
        <v>2021</v>
      </c>
      <c r="B43" s="66" t="s">
        <v>199</v>
      </c>
      <c r="C43" s="66" t="s">
        <v>155</v>
      </c>
      <c r="D43" s="67">
        <v>2187278</v>
      </c>
    </row>
    <row r="44" spans="1:4" x14ac:dyDescent="0.3">
      <c r="A44" s="66">
        <v>2021</v>
      </c>
      <c r="B44" s="66" t="s">
        <v>200</v>
      </c>
      <c r="C44" s="66" t="s">
        <v>156</v>
      </c>
      <c r="D44" s="67">
        <v>12798377</v>
      </c>
    </row>
    <row r="45" spans="1:4" x14ac:dyDescent="0.3">
      <c r="A45" s="66">
        <v>2021</v>
      </c>
      <c r="B45" s="66" t="s">
        <v>157</v>
      </c>
      <c r="C45" s="66" t="s">
        <v>158</v>
      </c>
      <c r="D45" s="67">
        <v>3760155</v>
      </c>
    </row>
    <row r="46" spans="1:4" x14ac:dyDescent="0.3">
      <c r="A46" s="66">
        <v>2021</v>
      </c>
      <c r="B46" s="66" t="s">
        <v>8</v>
      </c>
      <c r="C46" s="66" t="s">
        <v>9</v>
      </c>
      <c r="D46" s="67">
        <v>105658368</v>
      </c>
    </row>
    <row r="47" spans="1:4" x14ac:dyDescent="0.3">
      <c r="A47" s="66">
        <v>2021</v>
      </c>
      <c r="B47" s="66" t="s">
        <v>10</v>
      </c>
      <c r="C47" s="66" t="s">
        <v>11</v>
      </c>
      <c r="D47" s="67">
        <v>244022870</v>
      </c>
    </row>
    <row r="48" spans="1:4" x14ac:dyDescent="0.3">
      <c r="A48" s="66">
        <v>2021</v>
      </c>
      <c r="B48" s="66" t="s">
        <v>12</v>
      </c>
      <c r="C48" s="66" t="s">
        <v>13</v>
      </c>
      <c r="D48" s="67">
        <v>26412210</v>
      </c>
    </row>
    <row r="49" spans="1:4" x14ac:dyDescent="0.3">
      <c r="A49" s="66">
        <v>2021</v>
      </c>
      <c r="B49" s="66" t="s">
        <v>201</v>
      </c>
      <c r="C49" s="66" t="s">
        <v>14</v>
      </c>
      <c r="D49" s="67">
        <v>2182283</v>
      </c>
    </row>
    <row r="50" spans="1:4" x14ac:dyDescent="0.3">
      <c r="A50" s="66">
        <v>2021</v>
      </c>
      <c r="B50" s="66" t="s">
        <v>15</v>
      </c>
      <c r="C50" s="66" t="s">
        <v>159</v>
      </c>
      <c r="D50" s="67">
        <v>58542209</v>
      </c>
    </row>
    <row r="51" spans="1:4" x14ac:dyDescent="0.3">
      <c r="A51" s="66">
        <v>2021</v>
      </c>
      <c r="B51" s="66" t="s">
        <v>16</v>
      </c>
      <c r="C51" s="66" t="s">
        <v>17</v>
      </c>
      <c r="D51" s="67">
        <v>47008179</v>
      </c>
    </row>
    <row r="52" spans="1:4" x14ac:dyDescent="0.3">
      <c r="A52" s="66">
        <v>2021</v>
      </c>
      <c r="B52" s="66" t="s">
        <v>18</v>
      </c>
      <c r="C52" s="66" t="s">
        <v>202</v>
      </c>
      <c r="D52" s="67">
        <v>134144882</v>
      </c>
    </row>
    <row r="53" spans="1:4" x14ac:dyDescent="0.3">
      <c r="A53" s="66">
        <v>2021</v>
      </c>
      <c r="B53" s="66" t="s">
        <v>203</v>
      </c>
      <c r="C53" s="66" t="s">
        <v>204</v>
      </c>
      <c r="D53" s="67">
        <v>400000</v>
      </c>
    </row>
    <row r="54" spans="1:4" x14ac:dyDescent="0.3">
      <c r="A54" s="66">
        <v>2021</v>
      </c>
      <c r="B54" s="66" t="s">
        <v>205</v>
      </c>
      <c r="C54" s="66" t="s">
        <v>20</v>
      </c>
      <c r="D54" s="67">
        <v>8012574</v>
      </c>
    </row>
    <row r="55" spans="1:4" x14ac:dyDescent="0.3">
      <c r="A55" s="66">
        <v>2021</v>
      </c>
      <c r="B55" s="66" t="s">
        <v>160</v>
      </c>
      <c r="C55" s="66" t="s">
        <v>161</v>
      </c>
      <c r="D55" s="67">
        <v>4017590</v>
      </c>
    </row>
    <row r="56" spans="1:4" x14ac:dyDescent="0.3">
      <c r="A56" s="66">
        <v>2021</v>
      </c>
      <c r="B56" s="66" t="s">
        <v>206</v>
      </c>
      <c r="C56" s="66" t="s">
        <v>162</v>
      </c>
      <c r="D56" s="67">
        <v>8619928</v>
      </c>
    </row>
    <row r="57" spans="1:4" x14ac:dyDescent="0.3">
      <c r="A57" s="66">
        <v>2021</v>
      </c>
      <c r="B57" s="66" t="s">
        <v>21</v>
      </c>
      <c r="C57" s="66" t="s">
        <v>22</v>
      </c>
      <c r="D57" s="67">
        <v>21050091</v>
      </c>
    </row>
    <row r="58" spans="1:4" x14ac:dyDescent="0.3">
      <c r="A58" s="66">
        <v>2021</v>
      </c>
      <c r="B58" s="66" t="s">
        <v>163</v>
      </c>
      <c r="C58" s="66" t="s">
        <v>207</v>
      </c>
      <c r="D58" s="67">
        <v>37161910</v>
      </c>
    </row>
    <row r="59" spans="1:4" x14ac:dyDescent="0.3">
      <c r="A59" s="66">
        <v>2021</v>
      </c>
      <c r="B59" s="66" t="s">
        <v>164</v>
      </c>
      <c r="C59" s="66" t="s">
        <v>165</v>
      </c>
      <c r="D59" s="67">
        <v>46860194</v>
      </c>
    </row>
    <row r="60" spans="1:4" x14ac:dyDescent="0.3">
      <c r="A60" s="66">
        <v>2021</v>
      </c>
      <c r="B60" s="66" t="s">
        <v>166</v>
      </c>
      <c r="C60" s="66" t="s">
        <v>167</v>
      </c>
      <c r="D60" s="67">
        <v>4805793</v>
      </c>
    </row>
    <row r="61" spans="1:4" x14ac:dyDescent="0.3">
      <c r="A61" s="66">
        <v>2021</v>
      </c>
      <c r="B61" s="66" t="s">
        <v>23</v>
      </c>
      <c r="C61" s="66" t="s">
        <v>24</v>
      </c>
      <c r="D61" s="67">
        <v>88827897</v>
      </c>
    </row>
    <row r="62" spans="1:4" x14ac:dyDescent="0.3">
      <c r="A62" s="66">
        <v>2021</v>
      </c>
      <c r="B62" s="66" t="s">
        <v>25</v>
      </c>
      <c r="C62" s="66" t="s">
        <v>26</v>
      </c>
      <c r="D62" s="67">
        <v>109877988</v>
      </c>
    </row>
    <row r="63" spans="1:4" x14ac:dyDescent="0.3">
      <c r="A63" s="66">
        <v>2021</v>
      </c>
      <c r="B63" s="66" t="s">
        <v>27</v>
      </c>
      <c r="C63" s="66" t="s">
        <v>208</v>
      </c>
      <c r="D63" s="67">
        <v>244022870</v>
      </c>
    </row>
    <row r="64" spans="1:4" x14ac:dyDescent="0.3">
      <c r="A64" s="66">
        <v>2022</v>
      </c>
      <c r="B64" s="66" t="s">
        <v>1</v>
      </c>
      <c r="C64" s="66" t="s">
        <v>2</v>
      </c>
      <c r="D64" s="67">
        <v>102490667</v>
      </c>
    </row>
    <row r="65" spans="1:4" x14ac:dyDescent="0.3">
      <c r="A65" s="66">
        <v>2022</v>
      </c>
      <c r="B65" s="66" t="s">
        <v>3</v>
      </c>
      <c r="C65" s="66" t="s">
        <v>4</v>
      </c>
      <c r="D65" s="67">
        <v>9883738</v>
      </c>
    </row>
    <row r="66" spans="1:4" x14ac:dyDescent="0.3">
      <c r="A66" s="66">
        <v>2022</v>
      </c>
      <c r="B66" s="66" t="s">
        <v>193</v>
      </c>
      <c r="C66" s="66" t="s">
        <v>150</v>
      </c>
      <c r="D66" s="67">
        <v>330920</v>
      </c>
    </row>
    <row r="67" spans="1:4" x14ac:dyDescent="0.3">
      <c r="A67" s="66">
        <v>2022</v>
      </c>
      <c r="B67" s="66" t="s">
        <v>194</v>
      </c>
      <c r="C67" s="66" t="s">
        <v>151</v>
      </c>
      <c r="D67" s="67">
        <v>20608559</v>
      </c>
    </row>
    <row r="68" spans="1:4" x14ac:dyDescent="0.3">
      <c r="A68" s="66">
        <v>2022</v>
      </c>
      <c r="B68" s="66" t="s">
        <v>5</v>
      </c>
      <c r="C68" s="66" t="s">
        <v>6</v>
      </c>
      <c r="D68" s="67">
        <v>133313884</v>
      </c>
    </row>
    <row r="69" spans="1:4" x14ac:dyDescent="0.3">
      <c r="A69" s="66">
        <v>2022</v>
      </c>
      <c r="B69" s="66" t="s">
        <v>195</v>
      </c>
      <c r="C69" s="66" t="s">
        <v>152</v>
      </c>
      <c r="D69" s="67">
        <v>29963708</v>
      </c>
    </row>
    <row r="70" spans="1:4" x14ac:dyDescent="0.3">
      <c r="A70" s="66">
        <v>2022</v>
      </c>
      <c r="B70" s="66" t="s">
        <v>7</v>
      </c>
      <c r="C70" s="66" t="s">
        <v>153</v>
      </c>
      <c r="D70" s="67">
        <v>63653763</v>
      </c>
    </row>
    <row r="71" spans="1:4" x14ac:dyDescent="0.3">
      <c r="A71" s="66">
        <v>2022</v>
      </c>
      <c r="B71" s="66" t="s">
        <v>196</v>
      </c>
      <c r="C71" s="66" t="s">
        <v>197</v>
      </c>
      <c r="D71" s="67">
        <v>0</v>
      </c>
    </row>
    <row r="72" spans="1:4" x14ac:dyDescent="0.3">
      <c r="A72" s="66">
        <v>2022</v>
      </c>
      <c r="B72" s="66" t="s">
        <v>198</v>
      </c>
      <c r="C72" s="66" t="s">
        <v>154</v>
      </c>
      <c r="D72" s="67">
        <v>42738851</v>
      </c>
    </row>
    <row r="73" spans="1:4" x14ac:dyDescent="0.3">
      <c r="A73" s="66">
        <v>2022</v>
      </c>
      <c r="B73" s="66" t="s">
        <v>199</v>
      </c>
      <c r="C73" s="66" t="s">
        <v>155</v>
      </c>
      <c r="D73" s="67">
        <v>3864347</v>
      </c>
    </row>
    <row r="74" spans="1:4" x14ac:dyDescent="0.3">
      <c r="A74" s="66">
        <v>2022</v>
      </c>
      <c r="B74" s="66" t="s">
        <v>200</v>
      </c>
      <c r="C74" s="66" t="s">
        <v>156</v>
      </c>
      <c r="D74" s="67">
        <v>2772709</v>
      </c>
    </row>
    <row r="75" spans="1:4" x14ac:dyDescent="0.3">
      <c r="A75" s="66">
        <v>2022</v>
      </c>
      <c r="B75" s="66" t="s">
        <v>157</v>
      </c>
      <c r="C75" s="66" t="s">
        <v>158</v>
      </c>
      <c r="D75" s="67">
        <v>3760155</v>
      </c>
    </row>
    <row r="76" spans="1:4" x14ac:dyDescent="0.3">
      <c r="A76" s="66">
        <v>2022</v>
      </c>
      <c r="B76" s="66" t="s">
        <v>8</v>
      </c>
      <c r="C76" s="66" t="s">
        <v>9</v>
      </c>
      <c r="D76" s="67">
        <v>146753533</v>
      </c>
    </row>
    <row r="77" spans="1:4" x14ac:dyDescent="0.3">
      <c r="A77" s="66">
        <v>2022</v>
      </c>
      <c r="B77" s="66" t="s">
        <v>10</v>
      </c>
      <c r="C77" s="66" t="s">
        <v>11</v>
      </c>
      <c r="D77" s="67">
        <v>280067417</v>
      </c>
    </row>
    <row r="78" spans="1:4" x14ac:dyDescent="0.3">
      <c r="A78" s="66">
        <v>2022</v>
      </c>
      <c r="B78" s="66" t="s">
        <v>12</v>
      </c>
      <c r="C78" s="66" t="s">
        <v>13</v>
      </c>
      <c r="D78" s="67">
        <v>26412210</v>
      </c>
    </row>
    <row r="79" spans="1:4" x14ac:dyDescent="0.3">
      <c r="A79" s="66">
        <v>2022</v>
      </c>
      <c r="B79" s="66" t="s">
        <v>201</v>
      </c>
      <c r="C79" s="66" t="s">
        <v>14</v>
      </c>
      <c r="D79" s="67">
        <v>2182283</v>
      </c>
    </row>
    <row r="80" spans="1:4" x14ac:dyDescent="0.3">
      <c r="A80" s="66">
        <v>2022</v>
      </c>
      <c r="B80" s="66" t="s">
        <v>15</v>
      </c>
      <c r="C80" s="66" t="s">
        <v>159</v>
      </c>
      <c r="D80" s="67">
        <v>60895474.780000001</v>
      </c>
    </row>
    <row r="81" spans="1:4" x14ac:dyDescent="0.3">
      <c r="A81" s="66">
        <v>2022</v>
      </c>
      <c r="B81" s="66" t="s">
        <v>16</v>
      </c>
      <c r="C81" s="66" t="s">
        <v>17</v>
      </c>
      <c r="D81" s="67">
        <v>70732989.219999999</v>
      </c>
    </row>
    <row r="82" spans="1:4" x14ac:dyDescent="0.3">
      <c r="A82" s="66">
        <v>2022</v>
      </c>
      <c r="B82" s="66" t="s">
        <v>18</v>
      </c>
      <c r="C82" s="66" t="s">
        <v>202</v>
      </c>
      <c r="D82" s="67">
        <v>160222957</v>
      </c>
    </row>
    <row r="83" spans="1:4" x14ac:dyDescent="0.3">
      <c r="A83" s="66">
        <v>2022</v>
      </c>
      <c r="B83" s="66" t="s">
        <v>203</v>
      </c>
      <c r="C83" s="66" t="s">
        <v>204</v>
      </c>
      <c r="D83" s="67">
        <v>1000000</v>
      </c>
    </row>
    <row r="84" spans="1:4" x14ac:dyDescent="0.3">
      <c r="A84" s="66">
        <v>2022</v>
      </c>
      <c r="B84" s="66" t="s">
        <v>205</v>
      </c>
      <c r="C84" s="66" t="s">
        <v>20</v>
      </c>
      <c r="D84" s="67">
        <v>7780659</v>
      </c>
    </row>
    <row r="85" spans="1:4" x14ac:dyDescent="0.3">
      <c r="A85" s="66">
        <v>2022</v>
      </c>
      <c r="B85" s="66" t="s">
        <v>160</v>
      </c>
      <c r="C85" s="66" t="s">
        <v>161</v>
      </c>
      <c r="D85" s="67">
        <v>4044764</v>
      </c>
    </row>
    <row r="86" spans="1:4" x14ac:dyDescent="0.3">
      <c r="A86" s="66">
        <v>2022</v>
      </c>
      <c r="B86" s="66" t="s">
        <v>206</v>
      </c>
      <c r="C86" s="66" t="s">
        <v>162</v>
      </c>
      <c r="D86" s="67">
        <v>7475188</v>
      </c>
    </row>
    <row r="87" spans="1:4" x14ac:dyDescent="0.3">
      <c r="A87" s="66">
        <v>2022</v>
      </c>
      <c r="B87" s="66" t="s">
        <v>21</v>
      </c>
      <c r="C87" s="66" t="s">
        <v>22</v>
      </c>
      <c r="D87" s="67">
        <v>20300611</v>
      </c>
    </row>
    <row r="88" spans="1:4" x14ac:dyDescent="0.3">
      <c r="A88" s="66">
        <v>2022</v>
      </c>
      <c r="B88" s="66" t="s">
        <v>163</v>
      </c>
      <c r="C88" s="66" t="s">
        <v>207</v>
      </c>
      <c r="D88" s="67">
        <v>48060900</v>
      </c>
    </row>
    <row r="89" spans="1:4" x14ac:dyDescent="0.3">
      <c r="A89" s="66">
        <v>2022</v>
      </c>
      <c r="B89" s="66" t="s">
        <v>164</v>
      </c>
      <c r="C89" s="66" t="s">
        <v>165</v>
      </c>
      <c r="D89" s="67">
        <v>45859692</v>
      </c>
    </row>
    <row r="90" spans="1:4" x14ac:dyDescent="0.3">
      <c r="A90" s="66">
        <v>2022</v>
      </c>
      <c r="B90" s="66" t="s">
        <v>166</v>
      </c>
      <c r="C90" s="66" t="s">
        <v>167</v>
      </c>
      <c r="D90" s="67">
        <v>5623258</v>
      </c>
    </row>
    <row r="91" spans="1:4" x14ac:dyDescent="0.3">
      <c r="A91" s="66">
        <v>2022</v>
      </c>
      <c r="B91" s="66" t="s">
        <v>23</v>
      </c>
      <c r="C91" s="66" t="s">
        <v>24</v>
      </c>
      <c r="D91" s="67">
        <v>99543849</v>
      </c>
    </row>
    <row r="92" spans="1:4" x14ac:dyDescent="0.3">
      <c r="A92" s="66">
        <v>2022</v>
      </c>
      <c r="B92" s="66" t="s">
        <v>25</v>
      </c>
      <c r="C92" s="66" t="s">
        <v>26</v>
      </c>
      <c r="D92" s="67">
        <v>119844460</v>
      </c>
    </row>
    <row r="93" spans="1:4" x14ac:dyDescent="0.3">
      <c r="A93" s="66">
        <v>2022</v>
      </c>
      <c r="B93" s="66" t="s">
        <v>27</v>
      </c>
      <c r="C93" s="66" t="s">
        <v>208</v>
      </c>
      <c r="D93" s="67">
        <v>280067417</v>
      </c>
    </row>
  </sheetData>
  <autoFilter ref="A3:D173" xr:uid="{1365120E-2296-4813-8E3A-9715D73AB079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51"/>
  <sheetViews>
    <sheetView showGridLines="0" zoomScaleNormal="100" workbookViewId="0">
      <selection activeCell="G26" sqref="G26"/>
    </sheetView>
  </sheetViews>
  <sheetFormatPr defaultRowHeight="15" x14ac:dyDescent="0.3"/>
  <cols>
    <col min="1" max="1" width="5" style="47" customWidth="1"/>
    <col min="2" max="2" width="50.5546875" style="47" bestFit="1" customWidth="1"/>
    <col min="3" max="4" width="13.109375" style="47" bestFit="1" customWidth="1"/>
    <col min="5" max="5" width="12.88671875" style="47" bestFit="1" customWidth="1"/>
    <col min="6" max="6" width="3" style="79" bestFit="1" customWidth="1"/>
    <col min="7" max="7" width="12.33203125" style="47" bestFit="1" customWidth="1"/>
    <col min="8" max="8" width="7.5546875" style="47" bestFit="1" customWidth="1"/>
    <col min="9" max="9" width="3.77734375" style="47" customWidth="1"/>
    <col min="10" max="10" width="5.21875" style="47" customWidth="1"/>
    <col min="11" max="16384" width="8.88671875" style="47"/>
  </cols>
  <sheetData>
    <row r="2" spans="2:8" x14ac:dyDescent="0.3">
      <c r="B2" s="86" t="s">
        <v>283</v>
      </c>
    </row>
    <row r="3" spans="2:8" ht="15.6" thickBot="1" x14ac:dyDescent="0.35"/>
    <row r="4" spans="2:8" thickBot="1" x14ac:dyDescent="0.35">
      <c r="B4" s="106" t="s">
        <v>0</v>
      </c>
      <c r="C4" s="107">
        <f>Data_Interim!H3</f>
        <v>2021</v>
      </c>
      <c r="D4" s="107">
        <f>Data_Interim!I3</f>
        <v>2022</v>
      </c>
      <c r="E4" s="107">
        <f>Data_Interim!J3</f>
        <v>2023</v>
      </c>
      <c r="F4" s="219" t="str">
        <f>CONCATENATE(E4," vs. ",D4)</f>
        <v>2023 vs. 2022</v>
      </c>
      <c r="G4" s="219"/>
      <c r="H4" s="219"/>
    </row>
    <row r="5" spans="2:8" ht="14.4" x14ac:dyDescent="0.3">
      <c r="B5" s="108" t="s">
        <v>185</v>
      </c>
      <c r="C5" s="12">
        <f>'3.Sit.Rezultatului Global'!C4</f>
        <v>123293002</v>
      </c>
      <c r="D5" s="12">
        <f>'3.Sit.Rezultatului Global'!D4</f>
        <v>134652067</v>
      </c>
      <c r="E5" s="116">
        <f>'3.Sit.Rezultatului Global'!E4</f>
        <v>112276281</v>
      </c>
      <c r="F5" s="8" t="str">
        <f>IF(E5+D5&gt;0,IF(E5&gt;D5,"▲",IF(E5=D5,"▬","▼")),IF(E5&gt;D5,"▼",IF(E5=D5,"▬","▲")))</f>
        <v>▼</v>
      </c>
      <c r="G5" s="12">
        <f>E5-D5</f>
        <v>-22375786</v>
      </c>
      <c r="H5" s="115">
        <f>E5/D5-1</f>
        <v>-0.16617484230672819</v>
      </c>
    </row>
    <row r="6" spans="2:8" ht="14.4" x14ac:dyDescent="0.3">
      <c r="B6" s="108" t="s">
        <v>37</v>
      </c>
      <c r="C6" s="12">
        <f>'3.Sit.Rezultatului Global'!C5</f>
        <v>2223429</v>
      </c>
      <c r="D6" s="12">
        <f>'3.Sit.Rezultatului Global'!D5</f>
        <v>2254827</v>
      </c>
      <c r="E6" s="116">
        <f>'3.Sit.Rezultatului Global'!E5</f>
        <v>2141875</v>
      </c>
      <c r="F6" s="8" t="str">
        <f t="shared" ref="F6:F16" si="0">IF(E6+D6&gt;0,IF(E6&gt;D6,"▲",IF(E6=D6,"▬","▼")),IF(E6&gt;D6,"▼",IF(E6=D6,"▬","▲")))</f>
        <v>▼</v>
      </c>
      <c r="G6" s="12">
        <f t="shared" ref="G6:G16" si="1">E6-D6</f>
        <v>-112952</v>
      </c>
      <c r="H6" s="115">
        <f t="shared" ref="H6:H16" si="2">E6/D6-1</f>
        <v>-5.0093421801317817E-2</v>
      </c>
    </row>
    <row r="7" spans="2:8" thickBot="1" x14ac:dyDescent="0.35">
      <c r="B7" s="108" t="s">
        <v>45</v>
      </c>
      <c r="C7" s="14">
        <f>'EBIT-EBITDA'!C10</f>
        <v>8138189</v>
      </c>
      <c r="D7" s="14">
        <f>'EBIT-EBITDA'!D10</f>
        <v>9121601</v>
      </c>
      <c r="E7" s="116">
        <f>'EBIT-EBITDA'!E10</f>
        <v>10584880</v>
      </c>
      <c r="F7" s="8" t="str">
        <f t="shared" si="0"/>
        <v>▲</v>
      </c>
      <c r="G7" s="12">
        <f t="shared" si="1"/>
        <v>1463279</v>
      </c>
      <c r="H7" s="115">
        <f t="shared" si="2"/>
        <v>0.16041909748080418</v>
      </c>
    </row>
    <row r="8" spans="2:8" thickBot="1" x14ac:dyDescent="0.35">
      <c r="B8" s="109" t="s">
        <v>147</v>
      </c>
      <c r="C8" s="110">
        <f>SUMIF(Data_Interim!$B:$B,$B$8,Data_Interim!H:H)</f>
        <v>8650965</v>
      </c>
      <c r="D8" s="110">
        <f>SUMIF(Data_Interim!$B:$B,$B$8,Data_Interim!I:I)</f>
        <v>9117851</v>
      </c>
      <c r="E8" s="117">
        <f>SUMIF(Data_Interim!$B:$B,$B$8,Data_Interim!J:J)</f>
        <v>3986629.4800000191</v>
      </c>
      <c r="F8" s="111" t="str">
        <f t="shared" ref="F8:F9" si="3">IF(E8+D8&gt;0,IF(E8&gt;D8,"▲",IF(E8=D8,"▬","▼")),IF(E8&gt;D8,"▼",IF(E8=D8,"▬","▲")))</f>
        <v>▼</v>
      </c>
      <c r="G8" s="112">
        <f t="shared" ref="G8:G9" si="4">E8-D8</f>
        <v>-5131221.5199999809</v>
      </c>
      <c r="H8" s="159">
        <f t="shared" ref="H8:H9" si="5">E8/D8-1</f>
        <v>-0.56276654663472581</v>
      </c>
    </row>
    <row r="9" spans="2:8" ht="14.4" x14ac:dyDescent="0.3">
      <c r="B9" s="108" t="s">
        <v>177</v>
      </c>
      <c r="C9" s="14">
        <f>'3.Sit.Rezultatului Global'!C12</f>
        <v>4767518</v>
      </c>
      <c r="D9" s="14">
        <f>'3.Sit.Rezultatului Global'!D12</f>
        <v>5292808</v>
      </c>
      <c r="E9" s="116">
        <f>'3.Sit.Rezultatului Global'!E12</f>
        <v>4209373</v>
      </c>
      <c r="F9" s="8" t="str">
        <f t="shared" si="3"/>
        <v>▼</v>
      </c>
      <c r="G9" s="12">
        <f t="shared" si="4"/>
        <v>-1083435</v>
      </c>
      <c r="H9" s="115">
        <f t="shared" si="5"/>
        <v>-0.20469947143368894</v>
      </c>
    </row>
    <row r="10" spans="2:8" ht="14.4" x14ac:dyDescent="0.3">
      <c r="B10" s="108" t="s">
        <v>124</v>
      </c>
      <c r="C10" s="14">
        <f>'3.Sit.Rezultatului Global'!C17</f>
        <v>3270977</v>
      </c>
      <c r="D10" s="14">
        <f>'3.Sit.Rezultatului Global'!D17</f>
        <v>4058675</v>
      </c>
      <c r="E10" s="116">
        <f>'3.Sit.Rezultatului Global'!E17</f>
        <v>5220906</v>
      </c>
      <c r="F10" s="8" t="str">
        <f>IF(E10+D10&gt;0,IF(E10&gt;D10,"▲",IF(E10=D10,"▬","▼")),IF(E10&gt;D10,"▼",IF(E10=D10,"▬","▲")))</f>
        <v>▲</v>
      </c>
      <c r="G10" s="12">
        <f t="shared" si="1"/>
        <v>1162231</v>
      </c>
      <c r="H10" s="115">
        <f t="shared" si="2"/>
        <v>0.28635724713114508</v>
      </c>
    </row>
    <row r="11" spans="2:8" ht="14.4" x14ac:dyDescent="0.3">
      <c r="B11" s="108" t="s">
        <v>227</v>
      </c>
      <c r="C11" s="14">
        <f>SUMIF(Data_Interim!$B:$B,$B$11,Data_Interim!H:H)</f>
        <v>-267</v>
      </c>
      <c r="D11" s="14">
        <f>SUMIF(Data_Interim!$B:$B,$B$11,Data_Interim!I:I)</f>
        <v>9006</v>
      </c>
      <c r="E11" s="116">
        <f>SUMIF(Data_Interim!$B:$B,$B$11,Data_Interim!J:J)</f>
        <v>3992451</v>
      </c>
      <c r="F11" s="8" t="str">
        <f t="shared" ref="F11:F12" si="6">IF(E11+D11&gt;0,IF(E11&gt;D11,"▲",IF(E11=D11,"▬","▼")),IF(E11&gt;D11,"▼",IF(E11=D11,"▬","▲")))</f>
        <v>▲</v>
      </c>
      <c r="G11" s="12">
        <f t="shared" ref="G11:G12" si="7">E11-D11</f>
        <v>3983445</v>
      </c>
      <c r="H11" s="115">
        <f t="shared" ref="H11:H12" si="8">E11/D11-1</f>
        <v>442.31012658227849</v>
      </c>
    </row>
    <row r="12" spans="2:8" ht="14.4" x14ac:dyDescent="0.3">
      <c r="B12" s="108" t="s">
        <v>191</v>
      </c>
      <c r="C12" s="14">
        <f>C10-C11</f>
        <v>3271244</v>
      </c>
      <c r="D12" s="14">
        <f t="shared" ref="D12:E12" si="9">D10-D11</f>
        <v>4049669</v>
      </c>
      <c r="E12" s="116">
        <f t="shared" si="9"/>
        <v>1228455</v>
      </c>
      <c r="F12" s="8" t="str">
        <f t="shared" si="6"/>
        <v>▼</v>
      </c>
      <c r="G12" s="12">
        <f t="shared" si="7"/>
        <v>-2821214</v>
      </c>
      <c r="H12" s="115">
        <f t="shared" si="8"/>
        <v>-0.69665298571315337</v>
      </c>
    </row>
    <row r="13" spans="2:8" ht="14.4" x14ac:dyDescent="0.3">
      <c r="B13" s="108" t="s">
        <v>125</v>
      </c>
      <c r="C13" s="14">
        <f>'1.Pozitia Financiara'!B8</f>
        <v>149146990</v>
      </c>
      <c r="D13" s="14">
        <f>'1.Pozitia Financiara'!C8</f>
        <v>134941949</v>
      </c>
      <c r="E13" s="116">
        <f>'1.Pozitia Financiara'!D8</f>
        <v>117977677</v>
      </c>
      <c r="F13" s="8" t="str">
        <f t="shared" si="0"/>
        <v>▼</v>
      </c>
      <c r="G13" s="12">
        <f t="shared" si="1"/>
        <v>-16964272</v>
      </c>
      <c r="H13" s="115">
        <f t="shared" si="2"/>
        <v>-0.12571533259831602</v>
      </c>
    </row>
    <row r="14" spans="2:8" ht="14.4" x14ac:dyDescent="0.3">
      <c r="B14" s="108" t="s">
        <v>126</v>
      </c>
      <c r="C14" s="14">
        <f>'1.Pozitia Financiara'!B15</f>
        <v>92321417</v>
      </c>
      <c r="D14" s="14">
        <f>'1.Pozitia Financiara'!C15</f>
        <v>113611789</v>
      </c>
      <c r="E14" s="116">
        <f>'1.Pozitia Financiara'!D15</f>
        <v>108516463</v>
      </c>
      <c r="F14" s="8" t="str">
        <f t="shared" si="0"/>
        <v>▼</v>
      </c>
      <c r="G14" s="12">
        <f t="shared" si="1"/>
        <v>-5095326</v>
      </c>
      <c r="H14" s="115">
        <f t="shared" si="2"/>
        <v>-4.4848567607715384E-2</v>
      </c>
    </row>
    <row r="15" spans="2:8" ht="14.4" x14ac:dyDescent="0.3">
      <c r="B15" s="108" t="s">
        <v>127</v>
      </c>
      <c r="C15" s="14">
        <f>'1.Pozitia Financiara'!B21</f>
        <v>138842299</v>
      </c>
      <c r="D15" s="14">
        <f>'1.Pozitia Financiara'!C21</f>
        <v>135562335</v>
      </c>
      <c r="E15" s="116">
        <f>'1.Pozitia Financiara'!D21</f>
        <v>152237758</v>
      </c>
      <c r="F15" s="8" t="str">
        <f t="shared" si="0"/>
        <v>▲</v>
      </c>
      <c r="G15" s="12">
        <f t="shared" si="1"/>
        <v>16675423</v>
      </c>
      <c r="H15" s="115">
        <f t="shared" si="2"/>
        <v>0.12300926359818165</v>
      </c>
    </row>
    <row r="16" spans="2:8" ht="14.4" x14ac:dyDescent="0.3">
      <c r="B16" s="108" t="s">
        <v>128</v>
      </c>
      <c r="C16" s="14">
        <f>'1.Pozitia Financiara'!B31</f>
        <v>102626108</v>
      </c>
      <c r="D16" s="14">
        <f>'1.Pozitia Financiara'!C31</f>
        <v>112991403</v>
      </c>
      <c r="E16" s="116">
        <f>'1.Pozitia Financiara'!D31</f>
        <v>74256382</v>
      </c>
      <c r="F16" s="8" t="str">
        <f t="shared" si="0"/>
        <v>▼</v>
      </c>
      <c r="G16" s="12">
        <f t="shared" si="1"/>
        <v>-38735021</v>
      </c>
      <c r="H16" s="115">
        <f t="shared" si="2"/>
        <v>-0.34281387761863613</v>
      </c>
    </row>
    <row r="17" spans="2:19" ht="14.4" x14ac:dyDescent="0.3">
      <c r="B17" s="108" t="s">
        <v>145</v>
      </c>
      <c r="C17" s="113">
        <f t="shared" ref="C17:E17" si="10">C16/(C13+C14)</f>
        <v>0.42500842770706648</v>
      </c>
      <c r="D17" s="113">
        <f t="shared" si="10"/>
        <v>0.45459546860647093</v>
      </c>
      <c r="E17" s="118">
        <f t="shared" si="10"/>
        <v>0.32785122829226399</v>
      </c>
      <c r="F17" s="8" t="str">
        <f t="shared" ref="F17:F18" si="11">IF(E17+D17&gt;0,IF(E17&gt;D17,"▲",IF(E17=D17,"▬","▼")),IF(E17&gt;D17,"▼",IF(E17=D17,"▬","▲")))</f>
        <v>▼</v>
      </c>
      <c r="G17" s="114">
        <f>E17-D17</f>
        <v>-0.12674424031420695</v>
      </c>
      <c r="H17" s="115">
        <f>E17/D17-1</f>
        <v>-0.27880665133493765</v>
      </c>
    </row>
    <row r="18" spans="2:19" ht="14.4" x14ac:dyDescent="0.3">
      <c r="B18" s="108" t="s">
        <v>146</v>
      </c>
      <c r="C18" s="113">
        <f>'1.Pozitia Financiara'!B15/'1.Pozitia Financiara'!B30</f>
        <v>1.147886420669795</v>
      </c>
      <c r="D18" s="113">
        <f>'1.Pozitia Financiara'!C15/'1.Pozitia Financiara'!C30</f>
        <v>1.2084644383852341</v>
      </c>
      <c r="E18" s="118">
        <f>'1.Pozitia Financiara'!D15/'1.Pozitia Financiara'!D30</f>
        <v>2.1333323700390716</v>
      </c>
      <c r="F18" s="8" t="str">
        <f t="shared" si="11"/>
        <v>▲</v>
      </c>
      <c r="G18" s="114">
        <f t="shared" ref="G18" si="12">E18-D18</f>
        <v>0.92486793165383752</v>
      </c>
      <c r="H18" s="115">
        <f t="shared" ref="H18" si="13">E18/D18-1</f>
        <v>0.76532490512476992</v>
      </c>
    </row>
    <row r="19" spans="2:19" ht="14.4" x14ac:dyDescent="0.3">
      <c r="F19" s="47"/>
    </row>
    <row r="20" spans="2:19" ht="14.4" x14ac:dyDescent="0.3">
      <c r="B20" s="220" t="s">
        <v>148</v>
      </c>
      <c r="C20" s="220"/>
      <c r="D20" s="220"/>
      <c r="E20" s="220"/>
      <c r="F20" s="220"/>
      <c r="G20" s="220"/>
      <c r="H20" s="220"/>
      <c r="I20" s="160"/>
      <c r="K20" s="81">
        <f>E5/C5-1</f>
        <v>-8.9353984583812829E-2</v>
      </c>
      <c r="L20" s="20"/>
      <c r="M20" s="20"/>
      <c r="N20" s="20"/>
      <c r="O20" s="20"/>
      <c r="P20" s="20"/>
      <c r="Q20" s="20"/>
      <c r="R20" s="20"/>
      <c r="S20" s="20"/>
    </row>
    <row r="21" spans="2:19" ht="14.4" x14ac:dyDescent="0.3">
      <c r="B21" s="220"/>
      <c r="C21" s="220"/>
      <c r="D21" s="220"/>
      <c r="E21" s="220"/>
      <c r="F21" s="220"/>
      <c r="G21" s="220"/>
      <c r="H21" s="220"/>
      <c r="I21" s="160"/>
      <c r="K21" s="20"/>
      <c r="L21" s="20"/>
      <c r="M21" s="20"/>
      <c r="N21" s="20"/>
      <c r="O21" s="20"/>
      <c r="P21" s="20"/>
      <c r="Q21" s="20"/>
      <c r="R21" s="20"/>
      <c r="S21" s="20"/>
    </row>
    <row r="22" spans="2:19" ht="14.4" x14ac:dyDescent="0.3">
      <c r="B22" s="220" t="s">
        <v>149</v>
      </c>
      <c r="C22" s="220"/>
      <c r="D22" s="220"/>
      <c r="E22" s="220"/>
      <c r="F22" s="220"/>
      <c r="G22" s="220"/>
      <c r="H22" s="220"/>
      <c r="I22" s="220"/>
      <c r="J22" s="220"/>
      <c r="K22" s="20"/>
      <c r="L22" s="20"/>
      <c r="M22" s="20"/>
      <c r="N22" s="20"/>
      <c r="O22" s="20"/>
      <c r="P22" s="20"/>
      <c r="Q22" s="20"/>
      <c r="R22" s="20"/>
      <c r="S22" s="20"/>
    </row>
    <row r="23" spans="2:19" ht="14.4" x14ac:dyDescent="0.3">
      <c r="B23" s="220"/>
      <c r="C23" s="220"/>
      <c r="D23" s="220"/>
      <c r="E23" s="220"/>
      <c r="F23" s="220"/>
      <c r="G23" s="220"/>
      <c r="H23" s="220"/>
      <c r="I23" s="220"/>
      <c r="J23" s="220"/>
    </row>
    <row r="24" spans="2:19" ht="14.4" x14ac:dyDescent="0.3">
      <c r="C24" s="80"/>
      <c r="D24" s="80"/>
      <c r="E24" s="80"/>
      <c r="F24" s="80"/>
      <c r="G24" s="80"/>
      <c r="H24" s="80"/>
      <c r="I24" s="80"/>
    </row>
    <row r="25" spans="2:19" ht="14.4" x14ac:dyDescent="0.3">
      <c r="C25" s="80"/>
      <c r="D25" s="80"/>
      <c r="E25" s="135"/>
      <c r="F25" s="80"/>
      <c r="G25" s="80"/>
      <c r="H25" s="80"/>
      <c r="I25" s="80"/>
    </row>
    <row r="26" spans="2:19" ht="14.4" x14ac:dyDescent="0.3">
      <c r="C26" s="80"/>
      <c r="D26" s="80"/>
      <c r="E26" s="80"/>
      <c r="F26" s="80"/>
      <c r="G26" s="80"/>
      <c r="H26" s="80"/>
      <c r="I26" s="80"/>
    </row>
    <row r="27" spans="2:19" ht="14.4" x14ac:dyDescent="0.3">
      <c r="C27" s="80"/>
      <c r="D27" s="80"/>
      <c r="E27" s="80"/>
      <c r="F27" s="80"/>
      <c r="G27" s="80"/>
      <c r="H27" s="80"/>
      <c r="I27" s="80"/>
    </row>
    <row r="28" spans="2:19" ht="14.4" x14ac:dyDescent="0.3">
      <c r="C28" s="80"/>
      <c r="D28" s="80"/>
      <c r="E28" s="80"/>
      <c r="F28" s="80"/>
      <c r="G28" s="80"/>
      <c r="H28" s="80"/>
      <c r="I28" s="80"/>
    </row>
    <row r="39" spans="3:5" x14ac:dyDescent="0.3">
      <c r="D39" s="80"/>
      <c r="E39" s="80"/>
    </row>
    <row r="40" spans="3:5" x14ac:dyDescent="0.3">
      <c r="C40" s="80"/>
      <c r="D40" s="80"/>
      <c r="E40" s="80"/>
    </row>
    <row r="41" spans="3:5" x14ac:dyDescent="0.3">
      <c r="C41" s="80"/>
      <c r="D41" s="80"/>
      <c r="E41" s="80"/>
    </row>
    <row r="42" spans="3:5" x14ac:dyDescent="0.3">
      <c r="C42" s="80"/>
      <c r="D42" s="80"/>
      <c r="E42" s="80"/>
    </row>
    <row r="43" spans="3:5" x14ac:dyDescent="0.3">
      <c r="C43" s="80"/>
      <c r="D43" s="80"/>
      <c r="E43" s="80"/>
    </row>
    <row r="44" spans="3:5" x14ac:dyDescent="0.3">
      <c r="C44" s="80"/>
      <c r="D44" s="80"/>
      <c r="E44" s="80"/>
    </row>
    <row r="45" spans="3:5" x14ac:dyDescent="0.3">
      <c r="C45" s="80"/>
      <c r="D45" s="80"/>
      <c r="E45" s="80"/>
    </row>
    <row r="46" spans="3:5" x14ac:dyDescent="0.3">
      <c r="C46" s="80"/>
      <c r="D46" s="80"/>
      <c r="E46" s="80"/>
    </row>
    <row r="47" spans="3:5" x14ac:dyDescent="0.3">
      <c r="C47" s="80"/>
      <c r="D47" s="80"/>
      <c r="E47" s="80"/>
    </row>
    <row r="48" spans="3:5" x14ac:dyDescent="0.3">
      <c r="C48" s="80"/>
      <c r="D48" s="80"/>
      <c r="E48" s="80"/>
    </row>
    <row r="49" spans="3:5" x14ac:dyDescent="0.3">
      <c r="C49" s="80"/>
      <c r="D49" s="80"/>
      <c r="E49" s="80"/>
    </row>
    <row r="50" spans="3:5" x14ac:dyDescent="0.3">
      <c r="C50" s="80"/>
      <c r="D50" s="80"/>
      <c r="E50" s="80"/>
    </row>
    <row r="51" spans="3:5" x14ac:dyDescent="0.3">
      <c r="C51" s="80"/>
      <c r="D51" s="80"/>
      <c r="E51" s="80"/>
    </row>
  </sheetData>
  <mergeCells count="3">
    <mergeCell ref="F4:H4"/>
    <mergeCell ref="B22:J23"/>
    <mergeCell ref="B20:H21"/>
  </mergeCells>
  <phoneticPr fontId="41" type="noConversion"/>
  <conditionalFormatting sqref="F5:F16">
    <cfRule type="expression" dxfId="40" priority="14">
      <formula>E5&lt;D5</formula>
    </cfRule>
    <cfRule type="expression" dxfId="39" priority="15">
      <formula>E5&gt;D5</formula>
    </cfRule>
  </conditionalFormatting>
  <conditionalFormatting sqref="F5:F19">
    <cfRule type="expression" dxfId="38" priority="13">
      <formula>E5=D5</formula>
    </cfRule>
  </conditionalFormatting>
  <conditionalFormatting sqref="F16">
    <cfRule type="expression" dxfId="37" priority="86">
      <formula>#REF!&lt;D16</formula>
    </cfRule>
  </conditionalFormatting>
  <conditionalFormatting sqref="F16:F17">
    <cfRule type="expression" dxfId="36" priority="85">
      <formula>E16&gt;D16</formula>
    </cfRule>
  </conditionalFormatting>
  <conditionalFormatting sqref="F17">
    <cfRule type="expression" dxfId="35" priority="92">
      <formula>E1&lt;D17</formula>
    </cfRule>
  </conditionalFormatting>
  <conditionalFormatting sqref="F18:F19">
    <cfRule type="expression" dxfId="34" priority="20">
      <formula>E18&lt;D18</formula>
    </cfRule>
    <cfRule type="expression" dxfId="33" priority="21">
      <formula>E18&gt;D18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0"/>
  <sheetViews>
    <sheetView showGridLines="0" zoomScaleNormal="100" workbookViewId="0">
      <pane xSplit="1" ySplit="3" topLeftCell="B4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ColWidth="9.109375" defaultRowHeight="14.4" x14ac:dyDescent="0.3"/>
  <cols>
    <col min="1" max="1" width="68.88671875" style="1" customWidth="1"/>
    <col min="2" max="2" width="13.109375" style="1" bestFit="1" customWidth="1"/>
    <col min="3" max="3" width="12.88671875" style="1" customWidth="1"/>
    <col min="4" max="4" width="13.44140625" style="1" bestFit="1" customWidth="1"/>
    <col min="5" max="5" width="10.5546875" style="1" bestFit="1" customWidth="1"/>
    <col min="6" max="6" width="11.6640625" style="1" bestFit="1" customWidth="1"/>
    <col min="7" max="7" width="3" style="1" bestFit="1" customWidth="1"/>
    <col min="8" max="8" width="10.109375" style="1" bestFit="1" customWidth="1"/>
    <col min="9" max="9" width="9.109375" style="1"/>
    <col min="10" max="10" width="11" style="1" bestFit="1" customWidth="1"/>
    <col min="11" max="16384" width="9.109375" style="1"/>
  </cols>
  <sheetData>
    <row r="1" spans="1:10" x14ac:dyDescent="0.3">
      <c r="A1" s="162" t="s">
        <v>116</v>
      </c>
    </row>
    <row r="2" spans="1:10" ht="15" thickBot="1" x14ac:dyDescent="0.35"/>
    <row r="3" spans="1:10" ht="28.2" thickBot="1" x14ac:dyDescent="0.35">
      <c r="A3" s="119" t="s">
        <v>0</v>
      </c>
      <c r="B3" s="166" t="s">
        <v>276</v>
      </c>
      <c r="C3" s="166" t="s">
        <v>277</v>
      </c>
      <c r="D3" s="166" t="s">
        <v>278</v>
      </c>
      <c r="E3" s="120" t="str">
        <f>"In total "&amp;Data_Interim!J3</f>
        <v>In total 2023</v>
      </c>
      <c r="F3" s="221" t="str">
        <f>CONCATENATE(Data_Interim!J3," vs. ",Data_Interim!I3)</f>
        <v>2023 vs. 2022</v>
      </c>
      <c r="G3" s="221"/>
      <c r="H3" s="221"/>
    </row>
    <row r="4" spans="1:10" x14ac:dyDescent="0.3">
      <c r="A4" s="2" t="s">
        <v>1</v>
      </c>
      <c r="B4" s="2">
        <f>SUMIF(Data_Interim!$B:$B,$A4,Data_Interim!H:H)</f>
        <v>109884863</v>
      </c>
      <c r="C4" s="2">
        <f>SUMIF(Data_Interim!$B:$B,$A4,Data_Interim!I:I)</f>
        <v>103204824</v>
      </c>
      <c r="D4" s="121">
        <f>SUMIF(Data_Interim!$B:$B,$A4,Data_Interim!J:J)</f>
        <v>107160000</v>
      </c>
      <c r="E4" s="49">
        <f>D4/$D$16</f>
        <v>0.47312482345017842</v>
      </c>
      <c r="F4" s="50">
        <f>D4-C4</f>
        <v>3955176</v>
      </c>
      <c r="G4" s="49" t="str">
        <f>IF(D4&gt;C4,"▲",IF(D4=C4,"▬","▼"))</f>
        <v>▲</v>
      </c>
      <c r="H4" s="49">
        <f>IF(ISERROR(D4/C4-100%),"",D4/C4-100%)</f>
        <v>3.8323557433710631E-2</v>
      </c>
    </row>
    <row r="5" spans="1:10" x14ac:dyDescent="0.3">
      <c r="A5" s="2" t="s">
        <v>3</v>
      </c>
      <c r="B5" s="2">
        <f>SUMIF(Data_Interim!$B:$B,$A5,Data_Interim!H:H)</f>
        <v>11885346</v>
      </c>
      <c r="C5" s="2">
        <f>SUMIF(Data_Interim!$B:$B,$A5,Data_Interim!I:I)</f>
        <v>10894586</v>
      </c>
      <c r="D5" s="121">
        <f>SUMIF(Data_Interim!$B:$B,$A5,Data_Interim!J:J)</f>
        <v>9883738</v>
      </c>
      <c r="E5" s="49">
        <f>D5/$D$16</f>
        <v>4.363794136130851E-2</v>
      </c>
      <c r="F5" s="50">
        <f t="shared" ref="F5:F7" si="0">D5-C5</f>
        <v>-1010848</v>
      </c>
      <c r="G5" s="49" t="str">
        <f t="shared" ref="G5:G7" si="1">IF(D5&gt;C5,"▲",IF(D5=C5,"▬","▼"))</f>
        <v>▼</v>
      </c>
      <c r="H5" s="49">
        <f t="shared" ref="H5:H7" si="2">IF(ISERROR(D5/C5-100%),"",D5/C5-100%)</f>
        <v>-9.2784434397048199E-2</v>
      </c>
    </row>
    <row r="6" spans="1:10" x14ac:dyDescent="0.3">
      <c r="A6" s="2" t="s">
        <v>193</v>
      </c>
      <c r="B6" s="2">
        <f>SUMIF(Data_Interim!$B:$B,$A6,Data_Interim!H:H)</f>
        <v>291599</v>
      </c>
      <c r="C6" s="2">
        <f>SUMIF(Data_Interim!$B:$B,$A6,Data_Interim!I:I)</f>
        <v>233979</v>
      </c>
      <c r="D6" s="121">
        <f>SUMIF(Data_Interim!$B:$B,$A6,Data_Interim!J:J)</f>
        <v>473345</v>
      </c>
      <c r="E6" s="49">
        <f>D6/$D$16</f>
        <v>2.089877468794557E-3</v>
      </c>
      <c r="F6" s="50">
        <f t="shared" si="0"/>
        <v>239366</v>
      </c>
      <c r="G6" s="49" t="str">
        <f t="shared" si="1"/>
        <v>▲</v>
      </c>
      <c r="H6" s="49">
        <f t="shared" si="2"/>
        <v>1.0230234337269586</v>
      </c>
    </row>
    <row r="7" spans="1:10" ht="15" thickBot="1" x14ac:dyDescent="0.35">
      <c r="A7" s="2" t="s">
        <v>194</v>
      </c>
      <c r="B7" s="2">
        <f>SUMIF(Data_Interim!$B:$B,$A7,Data_Interim!H:H)</f>
        <v>27085182</v>
      </c>
      <c r="C7" s="2">
        <f>SUMIF(Data_Interim!$B:$B,$A7,Data_Interim!I:I)</f>
        <v>20608560</v>
      </c>
      <c r="D7" s="121">
        <f>SUMIF(Data_Interim!$B:$B,$A7,Data_Interim!J:J)</f>
        <v>460594</v>
      </c>
      <c r="E7" s="49">
        <f>D7/$D$16</f>
        <v>2.0335802065342616E-3</v>
      </c>
      <c r="F7" s="50">
        <f t="shared" si="0"/>
        <v>-20147966</v>
      </c>
      <c r="G7" s="49" t="str">
        <f t="shared" si="1"/>
        <v>▼</v>
      </c>
      <c r="H7" s="49">
        <f t="shared" si="2"/>
        <v>-0.97765035499811725</v>
      </c>
    </row>
    <row r="8" spans="1:10" ht="15" thickBot="1" x14ac:dyDescent="0.35">
      <c r="A8" s="3" t="s">
        <v>5</v>
      </c>
      <c r="B8" s="4">
        <f>SUM(B4:B7)</f>
        <v>149146990</v>
      </c>
      <c r="C8" s="4">
        <f>SUM(C4:C7)</f>
        <v>134941949</v>
      </c>
      <c r="D8" s="122">
        <f>SUM(D4:D7)</f>
        <v>117977677</v>
      </c>
      <c r="E8" s="5">
        <f t="shared" ref="E8:E17" si="3">D8/$D$16</f>
        <v>0.52088622248681582</v>
      </c>
      <c r="F8" s="4">
        <f t="shared" ref="F8:F32" si="4">D8-C8</f>
        <v>-16964272</v>
      </c>
      <c r="G8" s="36" t="str">
        <f t="shared" ref="G8:G32" si="5">IF(D8&gt;C8,"▲",IF(D8=C8,"▬","▼"))</f>
        <v>▼</v>
      </c>
      <c r="H8" s="5">
        <f t="shared" ref="H8:H32" si="6">IF(ISERROR(D8/C8-100%),"",D8/C8-100%)</f>
        <v>-0.12571533259831602</v>
      </c>
      <c r="J8" s="76"/>
    </row>
    <row r="9" spans="1:10" x14ac:dyDescent="0.3">
      <c r="A9" s="74" t="s">
        <v>195</v>
      </c>
      <c r="B9" s="2">
        <f>SUMIF(Data_Interim!$B:$B,$A9,Data_Interim!H:H)</f>
        <v>25369848</v>
      </c>
      <c r="C9" s="2">
        <f>SUMIF(Data_Interim!$B:$B,$A9,Data_Interim!I:I)</f>
        <v>30931534</v>
      </c>
      <c r="D9" s="121">
        <f>SUMIF(Data_Interim!$B:$B,$A9,Data_Interim!J:J)</f>
        <v>28417526</v>
      </c>
      <c r="E9" s="49">
        <f t="shared" si="3"/>
        <v>0.12546693702539058</v>
      </c>
      <c r="F9" s="50">
        <f t="shared" si="4"/>
        <v>-2514008</v>
      </c>
      <c r="G9" s="49" t="str">
        <f t="shared" si="5"/>
        <v>▼</v>
      </c>
      <c r="H9" s="49">
        <f t="shared" si="6"/>
        <v>-8.1276538046900604E-2</v>
      </c>
      <c r="J9" s="76"/>
    </row>
    <row r="10" spans="1:10" x14ac:dyDescent="0.3">
      <c r="A10" s="74" t="s">
        <v>7</v>
      </c>
      <c r="B10" s="2">
        <f>SUMIF(Data_Interim!$B:$B,$A10,Data_Interim!H:H)</f>
        <v>58687068</v>
      </c>
      <c r="C10" s="2">
        <f>SUMIF(Data_Interim!$B:$B,$A10,Data_Interim!I:I)</f>
        <v>68732476</v>
      </c>
      <c r="D10" s="121">
        <f>SUMIF(Data_Interim!$B:$B,$A10,Data_Interim!J:J)</f>
        <v>64288031</v>
      </c>
      <c r="E10" s="49">
        <f t="shared" si="3"/>
        <v>0.28383970993686636</v>
      </c>
      <c r="F10" s="50">
        <f t="shared" si="4"/>
        <v>-4444445</v>
      </c>
      <c r="G10" s="49" t="str">
        <f t="shared" si="5"/>
        <v>▼</v>
      </c>
      <c r="H10" s="49">
        <f t="shared" si="6"/>
        <v>-6.4662954961785424E-2</v>
      </c>
    </row>
    <row r="11" spans="1:10" x14ac:dyDescent="0.3">
      <c r="A11" s="74" t="s">
        <v>198</v>
      </c>
      <c r="B11" s="2">
        <f>SUMIF(Data_Interim!$B:$B,$A11,Data_Interim!H:H)</f>
        <v>959053</v>
      </c>
      <c r="C11" s="2">
        <f>SUMIF(Data_Interim!$B:$B,$A11,Data_Interim!I:I)</f>
        <v>1298910</v>
      </c>
      <c r="D11" s="121">
        <f>SUMIF(Data_Interim!$B:$B,$A11,Data_Interim!J:J)</f>
        <v>3278665</v>
      </c>
      <c r="E11" s="49">
        <f t="shared" si="3"/>
        <v>1.4475716678586032E-2</v>
      </c>
      <c r="F11" s="50">
        <f t="shared" si="4"/>
        <v>1979755</v>
      </c>
      <c r="G11" s="49" t="str">
        <f t="shared" si="5"/>
        <v>▲</v>
      </c>
      <c r="H11" s="49">
        <f>IF(ISERROR(D11/C11-100%),"",D11/C11-100%)</f>
        <v>1.5241664164568753</v>
      </c>
    </row>
    <row r="12" spans="1:10" x14ac:dyDescent="0.3">
      <c r="A12" s="145" t="s">
        <v>199</v>
      </c>
      <c r="B12" s="6">
        <f>SUMIF(Data_Interim!$B:$B,$A12,Data_Interim!H:H)</f>
        <v>2280411</v>
      </c>
      <c r="C12" s="6">
        <f>SUMIF(Data_Interim!$B:$B,$A12,Data_Interim!I:I)</f>
        <v>2392162</v>
      </c>
      <c r="D12" s="123">
        <f>SUMIF(Data_Interim!$B:$B,$A12,Data_Interim!J:J)</f>
        <v>2226957</v>
      </c>
      <c r="E12" s="49">
        <f t="shared" si="3"/>
        <v>9.8322941158654267E-3</v>
      </c>
      <c r="F12" s="50">
        <f t="shared" si="4"/>
        <v>-165205</v>
      </c>
      <c r="G12" s="49" t="str">
        <f t="shared" si="5"/>
        <v>▼</v>
      </c>
      <c r="H12" s="49">
        <f t="shared" si="6"/>
        <v>-6.9060958246138893E-2</v>
      </c>
    </row>
    <row r="13" spans="1:10" x14ac:dyDescent="0.3">
      <c r="A13" s="74" t="s">
        <v>200</v>
      </c>
      <c r="B13" s="2">
        <f>SUMIF(Data_Interim!$B:$B,$A13,Data_Interim!H:H)</f>
        <v>4954192</v>
      </c>
      <c r="C13" s="2">
        <f>SUMIF(Data_Interim!$B:$B,$A13,Data_Interim!I:I)</f>
        <v>6496552</v>
      </c>
      <c r="D13" s="121">
        <f>SUMIF(Data_Interim!$B:$B,$A13,Data_Interim!J:J)</f>
        <v>10305284</v>
      </c>
      <c r="E13" s="49">
        <f t="shared" si="3"/>
        <v>4.5499119756475817E-2</v>
      </c>
      <c r="F13" s="50">
        <f t="shared" si="4"/>
        <v>3808732</v>
      </c>
      <c r="G13" s="49" t="str">
        <f t="shared" si="5"/>
        <v>▲</v>
      </c>
      <c r="H13" s="49">
        <f t="shared" si="6"/>
        <v>0.58626976279109289</v>
      </c>
    </row>
    <row r="14" spans="1:10" ht="15" thickBot="1" x14ac:dyDescent="0.35">
      <c r="A14" s="74" t="s">
        <v>157</v>
      </c>
      <c r="B14" s="2">
        <f>SUMIF(Data_Interim!$B:$B,$A14,Data_Interim!H:H)</f>
        <v>70845</v>
      </c>
      <c r="C14" s="2">
        <f>SUMIF(Data_Interim!$B:$B,$A14,Data_Interim!I:I)</f>
        <v>3760155</v>
      </c>
      <c r="D14" s="121">
        <f>SUMIF(Data_Interim!$B:$B,$A14,Data_Interim!J:J)</f>
        <v>0</v>
      </c>
      <c r="E14" s="49">
        <f t="shared" si="3"/>
        <v>0</v>
      </c>
      <c r="F14" s="50">
        <f t="shared" si="4"/>
        <v>-3760155</v>
      </c>
      <c r="G14" s="49" t="str">
        <f t="shared" si="5"/>
        <v>▼</v>
      </c>
      <c r="H14" s="49">
        <f t="shared" si="6"/>
        <v>-1</v>
      </c>
    </row>
    <row r="15" spans="1:10" ht="15" thickBot="1" x14ac:dyDescent="0.35">
      <c r="A15" s="3" t="s">
        <v>8</v>
      </c>
      <c r="B15" s="4">
        <f>SUM(B9:B14)</f>
        <v>92321417</v>
      </c>
      <c r="C15" s="4">
        <f>SUM(C9:C14)</f>
        <v>113611789</v>
      </c>
      <c r="D15" s="122">
        <f>SUM(D9:D14)</f>
        <v>108516463</v>
      </c>
      <c r="E15" s="5">
        <f t="shared" si="3"/>
        <v>0.47911377751318424</v>
      </c>
      <c r="F15" s="4">
        <f t="shared" si="4"/>
        <v>-5095326</v>
      </c>
      <c r="G15" s="36" t="str">
        <f t="shared" si="5"/>
        <v>▼</v>
      </c>
      <c r="H15" s="5">
        <f t="shared" si="6"/>
        <v>-4.4848567607715384E-2</v>
      </c>
    </row>
    <row r="16" spans="1:10" ht="15" thickBot="1" x14ac:dyDescent="0.35">
      <c r="A16" s="3" t="s">
        <v>10</v>
      </c>
      <c r="B16" s="4">
        <f>B15+B8</f>
        <v>241468407</v>
      </c>
      <c r="C16" s="4">
        <f>C15+C8</f>
        <v>248553738</v>
      </c>
      <c r="D16" s="122">
        <f>D15+D8</f>
        <v>226494140</v>
      </c>
      <c r="E16" s="5">
        <f t="shared" si="3"/>
        <v>1</v>
      </c>
      <c r="F16" s="4">
        <f t="shared" si="4"/>
        <v>-22059598</v>
      </c>
      <c r="G16" s="36" t="str">
        <f t="shared" si="5"/>
        <v>▼</v>
      </c>
      <c r="H16" s="5">
        <f t="shared" si="6"/>
        <v>-8.8751825571015908E-2</v>
      </c>
    </row>
    <row r="17" spans="1:10" x14ac:dyDescent="0.3">
      <c r="A17" s="2" t="s">
        <v>12</v>
      </c>
      <c r="B17" s="2">
        <f>SUMIF(Data_Interim!$B:$B,$A17,Data_Interim!H:H)</f>
        <v>26412210</v>
      </c>
      <c r="C17" s="2">
        <f>SUMIF(Data_Interim!$B:$B,$A17,Data_Interim!I:I)</f>
        <v>26412210</v>
      </c>
      <c r="D17" s="121">
        <f>SUMIF(Data_Interim!$B:$B,$A17,Data_Interim!J:J)</f>
        <v>52824419</v>
      </c>
      <c r="E17" s="49">
        <f t="shared" si="3"/>
        <v>0.23322642696186313</v>
      </c>
      <c r="F17" s="50">
        <f t="shared" si="4"/>
        <v>26412209</v>
      </c>
      <c r="G17" s="49" t="str">
        <f t="shared" si="5"/>
        <v>▲</v>
      </c>
      <c r="H17" s="49">
        <f t="shared" si="6"/>
        <v>0.999999962138723</v>
      </c>
    </row>
    <row r="18" spans="1:10" x14ac:dyDescent="0.3">
      <c r="A18" s="2" t="s">
        <v>201</v>
      </c>
      <c r="B18" s="2">
        <f>SUMIF(Data_Interim!$B:$B,$A18,Data_Interim!H:H)</f>
        <v>2182283</v>
      </c>
      <c r="C18" s="2">
        <f>SUMIF(Data_Interim!$B:$B,$A18,Data_Interim!I:I)</f>
        <v>2182283</v>
      </c>
      <c r="D18" s="121">
        <f>SUMIF(Data_Interim!$B:$B,$A18,Data_Interim!J:J)</f>
        <v>2182283</v>
      </c>
      <c r="E18" s="49">
        <f t="shared" ref="E18:E20" si="7">D18/$D$16</f>
        <v>9.6350528097548134E-3</v>
      </c>
      <c r="F18" s="50">
        <f t="shared" ref="F18:F20" si="8">D18-C18</f>
        <v>0</v>
      </c>
      <c r="G18" s="49" t="str">
        <f t="shared" ref="G18:G20" si="9">IF(D18&gt;C18,"▲",IF(D18=C18,"▬","▼"))</f>
        <v>▬</v>
      </c>
      <c r="H18" s="49">
        <f t="shared" ref="H18:H20" si="10">IF(ISERROR(D18/C18-100%),"",D18/C18-100%)</f>
        <v>0</v>
      </c>
    </row>
    <row r="19" spans="1:10" x14ac:dyDescent="0.3">
      <c r="A19" s="2" t="s">
        <v>15</v>
      </c>
      <c r="B19" s="2">
        <f>SUMIF(Data_Interim!$B:$B,$A19,Data_Interim!H:H)</f>
        <v>59234711</v>
      </c>
      <c r="C19" s="2">
        <f>SUMIF(Data_Interim!$B:$B,$A19,Data_Interim!I:I)</f>
        <v>58289913</v>
      </c>
      <c r="D19" s="121">
        <f>SUMIF(Data_Interim!$B:$B,$A19,Data_Interim!J:J)</f>
        <v>59775572</v>
      </c>
      <c r="E19" s="49">
        <f t="shared" si="7"/>
        <v>0.26391663819646727</v>
      </c>
      <c r="F19" s="50">
        <f t="shared" si="8"/>
        <v>1485659</v>
      </c>
      <c r="G19" s="49" t="str">
        <f t="shared" si="9"/>
        <v>▲</v>
      </c>
      <c r="H19" s="49">
        <f t="shared" si="10"/>
        <v>2.5487411518353209E-2</v>
      </c>
      <c r="J19" s="62"/>
    </row>
    <row r="20" spans="1:10" ht="15" thickBot="1" x14ac:dyDescent="0.35">
      <c r="A20" s="2" t="s">
        <v>16</v>
      </c>
      <c r="B20" s="2">
        <f>SUMIF(Data_Interim!$B:$B,$A20,Data_Interim!H:H)</f>
        <v>51013095</v>
      </c>
      <c r="C20" s="2">
        <f>SUMIF(Data_Interim!$B:$B,$A20,Data_Interim!I:I)</f>
        <v>48677929</v>
      </c>
      <c r="D20" s="121">
        <f>SUMIF(Data_Interim!$B:$B,$A20,Data_Interim!J:J)</f>
        <v>37455484</v>
      </c>
      <c r="E20" s="49">
        <f t="shared" si="7"/>
        <v>0.16537065373965085</v>
      </c>
      <c r="F20" s="50">
        <f t="shared" si="8"/>
        <v>-11222445</v>
      </c>
      <c r="G20" s="49" t="str">
        <f t="shared" si="9"/>
        <v>▼</v>
      </c>
      <c r="H20" s="49">
        <f t="shared" si="10"/>
        <v>-0.23054483275161519</v>
      </c>
    </row>
    <row r="21" spans="1:10" ht="15" thickBot="1" x14ac:dyDescent="0.35">
      <c r="A21" s="3" t="s">
        <v>18</v>
      </c>
      <c r="B21" s="4">
        <f>SUM(B17:B20)</f>
        <v>138842299</v>
      </c>
      <c r="C21" s="4">
        <f t="shared" ref="C21:D21" si="11">SUM(C17:C20)</f>
        <v>135562335</v>
      </c>
      <c r="D21" s="122">
        <f t="shared" si="11"/>
        <v>152237758</v>
      </c>
      <c r="E21" s="5">
        <f t="shared" ref="E21:E32" si="12">D21/$D$16</f>
        <v>0.67214877170773601</v>
      </c>
      <c r="F21" s="4">
        <f t="shared" si="4"/>
        <v>16675423</v>
      </c>
      <c r="G21" s="36" t="str">
        <f t="shared" si="5"/>
        <v>▲</v>
      </c>
      <c r="H21" s="5">
        <f t="shared" si="6"/>
        <v>0.12300926359818165</v>
      </c>
    </row>
    <row r="22" spans="1:10" x14ac:dyDescent="0.3">
      <c r="A22" s="2" t="s">
        <v>203</v>
      </c>
      <c r="B22" s="2">
        <f>SUMIF(Data_Interim!$B:$B,$A22,Data_Interim!H:H)</f>
        <v>200000</v>
      </c>
      <c r="C22" s="2">
        <f>SUMIF(Data_Interim!$B:$B,$A22,Data_Interim!I:I)</f>
        <v>400000</v>
      </c>
      <c r="D22" s="121">
        <f>SUMIF(Data_Interim!$B:$B,$A22,Data_Interim!J:J)</f>
        <v>1000000</v>
      </c>
      <c r="E22" s="49">
        <f t="shared" si="12"/>
        <v>4.4151252654925201E-3</v>
      </c>
      <c r="F22" s="50">
        <f t="shared" si="4"/>
        <v>600000</v>
      </c>
      <c r="G22" s="49" t="str">
        <f t="shared" si="5"/>
        <v>▲</v>
      </c>
      <c r="H22" s="49">
        <f t="shared" si="6"/>
        <v>1.5</v>
      </c>
    </row>
    <row r="23" spans="1:10" x14ac:dyDescent="0.3">
      <c r="A23" s="2" t="s">
        <v>205</v>
      </c>
      <c r="B23" s="2">
        <f>SUMIF(Data_Interim!$B:$B,$A23,Data_Interim!H:H)</f>
        <v>7857468</v>
      </c>
      <c r="C23" s="2">
        <f>SUMIF(Data_Interim!$B:$B,$A23,Data_Interim!I:I)</f>
        <v>8012574</v>
      </c>
      <c r="D23" s="121">
        <f>SUMIF(Data_Interim!$B:$B,$A23,Data_Interim!J:J)</f>
        <v>7780659</v>
      </c>
      <c r="E23" s="49">
        <f t="shared" si="12"/>
        <v>3.4352584133081766E-2</v>
      </c>
      <c r="F23" s="50">
        <f t="shared" si="4"/>
        <v>-231915</v>
      </c>
      <c r="G23" s="49" t="str">
        <f t="shared" si="5"/>
        <v>▼</v>
      </c>
      <c r="H23" s="49">
        <f t="shared" si="6"/>
        <v>-2.8943882452754921E-2</v>
      </c>
      <c r="J23" s="28"/>
    </row>
    <row r="24" spans="1:10" x14ac:dyDescent="0.3">
      <c r="A24" s="2" t="s">
        <v>160</v>
      </c>
      <c r="B24" s="2">
        <f>SUMIF(Data_Interim!$B:$B,$A24,Data_Interim!H:H)</f>
        <v>4391676</v>
      </c>
      <c r="C24" s="2">
        <f>SUMIF(Data_Interim!$B:$B,$A24,Data_Interim!I:I)</f>
        <v>2775047</v>
      </c>
      <c r="D24" s="121">
        <f>SUMIF(Data_Interim!$B:$B,$A24,Data_Interim!J:J)</f>
        <v>8190409</v>
      </c>
      <c r="E24" s="49">
        <f t="shared" si="12"/>
        <v>3.6161681710617323E-2</v>
      </c>
      <c r="F24" s="50">
        <f t="shared" si="4"/>
        <v>5415362</v>
      </c>
      <c r="G24" s="49" t="str">
        <f t="shared" si="5"/>
        <v>▲</v>
      </c>
      <c r="H24" s="49">
        <f t="shared" si="6"/>
        <v>1.9514487502373834</v>
      </c>
    </row>
    <row r="25" spans="1:10" ht="15" thickBot="1" x14ac:dyDescent="0.35">
      <c r="A25" s="2" t="s">
        <v>206</v>
      </c>
      <c r="B25" s="2">
        <f>SUMIF(Data_Interim!$B:$B,$A25,Data_Interim!H:H)</f>
        <v>9749654</v>
      </c>
      <c r="C25" s="2">
        <f>SUMIF(Data_Interim!$B:$B,$A25,Data_Interim!I:I)</f>
        <v>7790433</v>
      </c>
      <c r="D25" s="121">
        <f>SUMIF(Data_Interim!$B:$B,$A25,Data_Interim!J:J)</f>
        <v>6418199</v>
      </c>
      <c r="E25" s="49">
        <f t="shared" si="12"/>
        <v>2.8337152563858825E-2</v>
      </c>
      <c r="F25" s="50">
        <f t="shared" si="4"/>
        <v>-1372234</v>
      </c>
      <c r="G25" s="49" t="str">
        <f t="shared" si="5"/>
        <v>▼</v>
      </c>
      <c r="H25" s="49">
        <f t="shared" si="6"/>
        <v>-0.17614348265365998</v>
      </c>
    </row>
    <row r="26" spans="1:10" ht="15" thickBot="1" x14ac:dyDescent="0.35">
      <c r="A26" s="3" t="s">
        <v>21</v>
      </c>
      <c r="B26" s="4">
        <f>SUM(B22:B25)</f>
        <v>22198798</v>
      </c>
      <c r="C26" s="4">
        <f>SUM(C22:C25)</f>
        <v>18978054</v>
      </c>
      <c r="D26" s="122">
        <f>SUM(D22:D25)</f>
        <v>23389267</v>
      </c>
      <c r="E26" s="5">
        <f t="shared" si="12"/>
        <v>0.10326654367305044</v>
      </c>
      <c r="F26" s="4">
        <f t="shared" si="4"/>
        <v>4411213</v>
      </c>
      <c r="G26" s="36" t="str">
        <f t="shared" si="5"/>
        <v>▲</v>
      </c>
      <c r="H26" s="5">
        <f t="shared" si="6"/>
        <v>0.23243758290497007</v>
      </c>
    </row>
    <row r="27" spans="1:10" x14ac:dyDescent="0.3">
      <c r="A27" s="2" t="s">
        <v>163</v>
      </c>
      <c r="B27" s="2">
        <f>SUMIF(Data_Interim!$B:$B,$A27,Data_Interim!H:H)</f>
        <v>34582853</v>
      </c>
      <c r="C27" s="2">
        <f>SUMIF(Data_Interim!$B:$B,$A27,Data_Interim!I:I)</f>
        <v>39150062</v>
      </c>
      <c r="D27" s="121">
        <f>SUMIF(Data_Interim!$B:$B,$A27,Data_Interim!J:J)</f>
        <v>25346837</v>
      </c>
      <c r="E27" s="49">
        <f t="shared" si="12"/>
        <v>0.11190946043902063</v>
      </c>
      <c r="F27" s="50">
        <f t="shared" si="4"/>
        <v>-13803225</v>
      </c>
      <c r="G27" s="49" t="str">
        <f t="shared" si="5"/>
        <v>▼</v>
      </c>
      <c r="H27" s="49">
        <f t="shared" si="6"/>
        <v>-0.3525722385829172</v>
      </c>
    </row>
    <row r="28" spans="1:10" x14ac:dyDescent="0.3">
      <c r="A28" s="2" t="s">
        <v>164</v>
      </c>
      <c r="B28" s="6">
        <f>SUMIF(Data_Interim!$B:$B,$A28,Data_Interim!H:H)</f>
        <v>39590380</v>
      </c>
      <c r="C28" s="6">
        <f>SUMIF(Data_Interim!$B:$B,$A28,Data_Interim!I:I)</f>
        <v>48545377</v>
      </c>
      <c r="D28" s="123">
        <f>SUMIF(Data_Interim!$B:$B,$A28,Data_Interim!J:J)</f>
        <v>20046543</v>
      </c>
      <c r="E28" s="49">
        <f t="shared" si="12"/>
        <v>8.8507998485082215E-2</v>
      </c>
      <c r="F28" s="50">
        <f t="shared" si="4"/>
        <v>-28498834</v>
      </c>
      <c r="G28" s="49" t="str">
        <f t="shared" si="5"/>
        <v>▼</v>
      </c>
      <c r="H28" s="49">
        <f t="shared" si="6"/>
        <v>-0.58705557070861758</v>
      </c>
    </row>
    <row r="29" spans="1:10" ht="15" thickBot="1" x14ac:dyDescent="0.35">
      <c r="A29" s="2" t="s">
        <v>166</v>
      </c>
      <c r="B29" s="2">
        <f>SUMIF(Data_Interim!$B:$B,$A29,Data_Interim!H:H)</f>
        <v>6254077</v>
      </c>
      <c r="C29" s="2">
        <f>SUMIF(Data_Interim!$B:$B,$A29,Data_Interim!I:I)</f>
        <v>6317910</v>
      </c>
      <c r="D29" s="121">
        <f>SUMIF(Data_Interim!$B:$B,$A29,Data_Interim!J:J)</f>
        <v>5473735</v>
      </c>
      <c r="E29" s="49">
        <f t="shared" si="12"/>
        <v>2.4167225695110699E-2</v>
      </c>
      <c r="F29" s="50">
        <f t="shared" si="4"/>
        <v>-844175</v>
      </c>
      <c r="G29" s="49" t="str">
        <f t="shared" si="5"/>
        <v>▼</v>
      </c>
      <c r="H29" s="49">
        <f t="shared" si="6"/>
        <v>-0.13361618003422016</v>
      </c>
    </row>
    <row r="30" spans="1:10" ht="15" thickBot="1" x14ac:dyDescent="0.35">
      <c r="A30" s="3" t="s">
        <v>23</v>
      </c>
      <c r="B30" s="3">
        <f>SUM(B27:B29)</f>
        <v>80427310</v>
      </c>
      <c r="C30" s="3">
        <f>SUM(C27:C29)</f>
        <v>94013349</v>
      </c>
      <c r="D30" s="124">
        <f>SUM(D27:D29)</f>
        <v>50867115</v>
      </c>
      <c r="E30" s="5">
        <f t="shared" si="12"/>
        <v>0.22458468461921355</v>
      </c>
      <c r="F30" s="4">
        <f t="shared" si="4"/>
        <v>-43146234</v>
      </c>
      <c r="G30" s="36" t="str">
        <f t="shared" si="5"/>
        <v>▼</v>
      </c>
      <c r="H30" s="5">
        <f t="shared" si="6"/>
        <v>-0.45893731538060623</v>
      </c>
    </row>
    <row r="31" spans="1:10" ht="15" thickBot="1" x14ac:dyDescent="0.35">
      <c r="A31" s="3" t="s">
        <v>25</v>
      </c>
      <c r="B31" s="3">
        <f>B30+B26</f>
        <v>102626108</v>
      </c>
      <c r="C31" s="3">
        <f>C30+C26</f>
        <v>112991403</v>
      </c>
      <c r="D31" s="124">
        <f>D30+D26</f>
        <v>74256382</v>
      </c>
      <c r="E31" s="5">
        <f t="shared" si="12"/>
        <v>0.32785122829226399</v>
      </c>
      <c r="F31" s="4">
        <f t="shared" si="4"/>
        <v>-38735021</v>
      </c>
      <c r="G31" s="36" t="str">
        <f t="shared" si="5"/>
        <v>▼</v>
      </c>
      <c r="H31" s="5">
        <f t="shared" si="6"/>
        <v>-0.34281387761863613</v>
      </c>
    </row>
    <row r="32" spans="1:10" ht="15" thickBot="1" x14ac:dyDescent="0.35">
      <c r="A32" s="3" t="s">
        <v>27</v>
      </c>
      <c r="B32" s="3">
        <f>B31+B21</f>
        <v>241468407</v>
      </c>
      <c r="C32" s="3">
        <f>C31+C21</f>
        <v>248553738</v>
      </c>
      <c r="D32" s="124">
        <f>D31+D21</f>
        <v>226494140</v>
      </c>
      <c r="E32" s="5">
        <f t="shared" si="12"/>
        <v>1</v>
      </c>
      <c r="F32" s="4">
        <f t="shared" si="4"/>
        <v>-22059598</v>
      </c>
      <c r="G32" s="36" t="str">
        <f t="shared" si="5"/>
        <v>▼</v>
      </c>
      <c r="H32" s="5">
        <f t="shared" si="6"/>
        <v>-8.8751825571015908E-2</v>
      </c>
    </row>
    <row r="34" spans="1:4" x14ac:dyDescent="0.3">
      <c r="A34" s="23" t="s">
        <v>41</v>
      </c>
      <c r="B34" s="28">
        <f>B32-B16</f>
        <v>0</v>
      </c>
      <c r="C34" s="28">
        <f>C32-C16</f>
        <v>0</v>
      </c>
      <c r="D34" s="28">
        <f>D32-D16</f>
        <v>0</v>
      </c>
    </row>
    <row r="36" spans="1:4" x14ac:dyDescent="0.3">
      <c r="A36" s="47"/>
    </row>
    <row r="37" spans="1:4" x14ac:dyDescent="0.3">
      <c r="B37" s="28"/>
      <c r="C37" s="28"/>
      <c r="D37" s="28"/>
    </row>
    <row r="38" spans="1:4" x14ac:dyDescent="0.3">
      <c r="B38" s="28"/>
      <c r="C38" s="28"/>
      <c r="D38" s="28"/>
    </row>
    <row r="39" spans="1:4" x14ac:dyDescent="0.3">
      <c r="B39" s="28"/>
      <c r="C39" s="28"/>
      <c r="D39" s="28"/>
    </row>
    <row r="40" spans="1:4" x14ac:dyDescent="0.3">
      <c r="B40" s="28"/>
      <c r="C40" s="28"/>
      <c r="D40" s="28"/>
    </row>
    <row r="41" spans="1:4" x14ac:dyDescent="0.3">
      <c r="B41" s="28"/>
      <c r="C41" s="28"/>
      <c r="D41" s="28"/>
    </row>
    <row r="42" spans="1:4" x14ac:dyDescent="0.3">
      <c r="B42" s="28"/>
      <c r="C42" s="28"/>
      <c r="D42" s="28"/>
    </row>
    <row r="43" spans="1:4" x14ac:dyDescent="0.3">
      <c r="B43" s="28"/>
      <c r="C43" s="28"/>
      <c r="D43" s="28"/>
    </row>
    <row r="44" spans="1:4" x14ac:dyDescent="0.3">
      <c r="B44" s="28"/>
      <c r="C44" s="28"/>
      <c r="D44" s="28"/>
    </row>
    <row r="45" spans="1:4" x14ac:dyDescent="0.3">
      <c r="B45" s="28"/>
      <c r="C45" s="28"/>
      <c r="D45" s="28"/>
    </row>
    <row r="46" spans="1:4" x14ac:dyDescent="0.3">
      <c r="B46" s="28"/>
      <c r="C46" s="28"/>
      <c r="D46" s="28"/>
    </row>
    <row r="47" spans="1:4" x14ac:dyDescent="0.3">
      <c r="B47" s="28"/>
      <c r="C47" s="28"/>
      <c r="D47" s="28"/>
    </row>
    <row r="48" spans="1:4" x14ac:dyDescent="0.3">
      <c r="B48" s="28"/>
      <c r="C48" s="28"/>
      <c r="D48" s="28"/>
    </row>
    <row r="49" spans="2:4" x14ac:dyDescent="0.3">
      <c r="B49" s="28"/>
      <c r="C49" s="28"/>
      <c r="D49" s="28"/>
    </row>
    <row r="50" spans="2:4" x14ac:dyDescent="0.3">
      <c r="B50" s="28"/>
      <c r="C50" s="28"/>
      <c r="D50" s="28"/>
    </row>
    <row r="51" spans="2:4" x14ac:dyDescent="0.3">
      <c r="B51" s="28"/>
      <c r="C51" s="28"/>
      <c r="D51" s="28"/>
    </row>
    <row r="52" spans="2:4" x14ac:dyDescent="0.3">
      <c r="B52" s="28"/>
      <c r="C52" s="28"/>
      <c r="D52" s="28"/>
    </row>
    <row r="53" spans="2:4" x14ac:dyDescent="0.3">
      <c r="B53" s="28"/>
      <c r="C53" s="28"/>
      <c r="D53" s="28"/>
    </row>
    <row r="54" spans="2:4" x14ac:dyDescent="0.3">
      <c r="B54" s="28"/>
      <c r="C54" s="28"/>
      <c r="D54" s="28"/>
    </row>
    <row r="55" spans="2:4" x14ac:dyDescent="0.3">
      <c r="B55" s="28"/>
      <c r="C55" s="28"/>
      <c r="D55" s="28"/>
    </row>
    <row r="56" spans="2:4" x14ac:dyDescent="0.3">
      <c r="B56" s="28"/>
      <c r="C56" s="28"/>
      <c r="D56" s="28"/>
    </row>
    <row r="57" spans="2:4" x14ac:dyDescent="0.3">
      <c r="B57" s="28"/>
      <c r="C57" s="28"/>
      <c r="D57" s="28"/>
    </row>
    <row r="58" spans="2:4" x14ac:dyDescent="0.3">
      <c r="B58" s="28"/>
      <c r="C58" s="28"/>
      <c r="D58" s="28"/>
    </row>
    <row r="59" spans="2:4" x14ac:dyDescent="0.3">
      <c r="B59" s="28"/>
      <c r="C59" s="28"/>
      <c r="D59" s="28"/>
    </row>
    <row r="60" spans="2:4" x14ac:dyDescent="0.3">
      <c r="B60" s="28"/>
      <c r="C60" s="28"/>
      <c r="D60" s="28"/>
    </row>
    <row r="61" spans="2:4" x14ac:dyDescent="0.3">
      <c r="B61" s="28"/>
      <c r="C61" s="28"/>
      <c r="D61" s="28"/>
    </row>
    <row r="62" spans="2:4" x14ac:dyDescent="0.3">
      <c r="B62" s="28"/>
      <c r="C62" s="28"/>
      <c r="D62" s="28"/>
    </row>
    <row r="63" spans="2:4" x14ac:dyDescent="0.3">
      <c r="B63" s="28"/>
      <c r="C63" s="28"/>
      <c r="D63" s="28"/>
    </row>
    <row r="64" spans="2:4" x14ac:dyDescent="0.3">
      <c r="B64" s="28"/>
      <c r="C64" s="28"/>
      <c r="D64" s="28"/>
    </row>
    <row r="65" spans="2:4" x14ac:dyDescent="0.3">
      <c r="B65" s="28"/>
      <c r="C65" s="28"/>
      <c r="D65" s="28"/>
    </row>
    <row r="66" spans="2:4" x14ac:dyDescent="0.3">
      <c r="B66" s="28"/>
      <c r="C66" s="28"/>
      <c r="D66" s="28"/>
    </row>
    <row r="67" spans="2:4" x14ac:dyDescent="0.3">
      <c r="B67" s="28"/>
      <c r="C67" s="28"/>
      <c r="D67" s="28"/>
    </row>
    <row r="68" spans="2:4" x14ac:dyDescent="0.3">
      <c r="B68" s="28"/>
      <c r="C68" s="28"/>
      <c r="D68" s="28"/>
    </row>
    <row r="69" spans="2:4" x14ac:dyDescent="0.3">
      <c r="B69" s="28"/>
      <c r="C69" s="28"/>
      <c r="D69" s="28"/>
    </row>
    <row r="70" spans="2:4" x14ac:dyDescent="0.3">
      <c r="B70" s="28"/>
      <c r="C70" s="28"/>
      <c r="D70" s="28"/>
    </row>
    <row r="71" spans="2:4" x14ac:dyDescent="0.3">
      <c r="B71" s="28"/>
      <c r="C71" s="28"/>
      <c r="D71" s="28"/>
    </row>
    <row r="72" spans="2:4" x14ac:dyDescent="0.3">
      <c r="B72" s="28"/>
      <c r="C72" s="28"/>
      <c r="D72" s="28"/>
    </row>
    <row r="73" spans="2:4" x14ac:dyDescent="0.3">
      <c r="B73" s="28"/>
      <c r="C73" s="28"/>
      <c r="D73" s="28"/>
    </row>
    <row r="74" spans="2:4" x14ac:dyDescent="0.3">
      <c r="B74" s="28"/>
      <c r="C74" s="28"/>
      <c r="D74" s="28"/>
    </row>
    <row r="75" spans="2:4" x14ac:dyDescent="0.3">
      <c r="B75" s="28"/>
      <c r="C75" s="28"/>
      <c r="D75" s="28"/>
    </row>
    <row r="76" spans="2:4" x14ac:dyDescent="0.3">
      <c r="B76" s="28"/>
      <c r="C76" s="28"/>
      <c r="D76" s="28"/>
    </row>
    <row r="77" spans="2:4" x14ac:dyDescent="0.3">
      <c r="B77" s="28"/>
      <c r="C77" s="28"/>
      <c r="D77" s="28"/>
    </row>
    <row r="78" spans="2:4" x14ac:dyDescent="0.3">
      <c r="B78" s="28"/>
      <c r="C78" s="28"/>
      <c r="D78" s="28"/>
    </row>
    <row r="79" spans="2:4" x14ac:dyDescent="0.3">
      <c r="B79" s="28"/>
      <c r="C79" s="28"/>
      <c r="D79" s="28"/>
    </row>
    <row r="80" spans="2:4" x14ac:dyDescent="0.3">
      <c r="B80" s="28"/>
      <c r="C80" s="28"/>
      <c r="D80" s="28"/>
    </row>
    <row r="81" spans="2:4" x14ac:dyDescent="0.3">
      <c r="B81" s="28"/>
      <c r="C81" s="28"/>
      <c r="D81" s="28"/>
    </row>
    <row r="82" spans="2:4" x14ac:dyDescent="0.3">
      <c r="B82" s="28"/>
      <c r="C82" s="28"/>
      <c r="D82" s="28"/>
    </row>
    <row r="83" spans="2:4" x14ac:dyDescent="0.3">
      <c r="B83" s="28"/>
      <c r="C83" s="28"/>
      <c r="D83" s="28"/>
    </row>
    <row r="84" spans="2:4" x14ac:dyDescent="0.3">
      <c r="B84" s="28"/>
      <c r="C84" s="28"/>
      <c r="D84" s="28"/>
    </row>
    <row r="85" spans="2:4" x14ac:dyDescent="0.3">
      <c r="B85" s="28"/>
      <c r="C85" s="28"/>
      <c r="D85" s="28"/>
    </row>
    <row r="86" spans="2:4" x14ac:dyDescent="0.3">
      <c r="B86" s="28"/>
      <c r="C86" s="28"/>
      <c r="D86" s="28"/>
    </row>
    <row r="87" spans="2:4" x14ac:dyDescent="0.3">
      <c r="B87" s="28"/>
      <c r="C87" s="28"/>
      <c r="D87" s="28"/>
    </row>
    <row r="88" spans="2:4" x14ac:dyDescent="0.3">
      <c r="B88" s="28"/>
      <c r="C88" s="28"/>
      <c r="D88" s="28"/>
    </row>
    <row r="89" spans="2:4" x14ac:dyDescent="0.3">
      <c r="B89" s="28"/>
      <c r="C89" s="28"/>
      <c r="D89" s="28"/>
    </row>
    <row r="90" spans="2:4" x14ac:dyDescent="0.3">
      <c r="B90" s="28"/>
      <c r="C90" s="28"/>
      <c r="D90" s="28"/>
    </row>
    <row r="91" spans="2:4" x14ac:dyDescent="0.3">
      <c r="B91" s="28"/>
      <c r="C91" s="28"/>
      <c r="D91" s="28"/>
    </row>
    <row r="92" spans="2:4" x14ac:dyDescent="0.3">
      <c r="B92" s="28"/>
      <c r="C92" s="28"/>
      <c r="D92" s="28"/>
    </row>
    <row r="93" spans="2:4" x14ac:dyDescent="0.3">
      <c r="B93" s="28"/>
      <c r="C93" s="28"/>
      <c r="D93" s="28"/>
    </row>
    <row r="94" spans="2:4" x14ac:dyDescent="0.3">
      <c r="B94" s="28"/>
      <c r="C94" s="28"/>
      <c r="D94" s="28"/>
    </row>
    <row r="95" spans="2:4" x14ac:dyDescent="0.3">
      <c r="B95" s="28"/>
      <c r="C95" s="28"/>
      <c r="D95" s="28"/>
    </row>
    <row r="96" spans="2:4" x14ac:dyDescent="0.3">
      <c r="B96" s="28"/>
      <c r="C96" s="28"/>
      <c r="D96" s="28"/>
    </row>
    <row r="97" spans="2:4" x14ac:dyDescent="0.3">
      <c r="B97" s="28"/>
      <c r="C97" s="28"/>
      <c r="D97" s="28"/>
    </row>
    <row r="98" spans="2:4" x14ac:dyDescent="0.3">
      <c r="B98" s="28"/>
      <c r="C98" s="28"/>
      <c r="D98" s="28"/>
    </row>
    <row r="99" spans="2:4" x14ac:dyDescent="0.3">
      <c r="B99" s="28"/>
      <c r="C99" s="28"/>
      <c r="D99" s="28"/>
    </row>
    <row r="100" spans="2:4" x14ac:dyDescent="0.3">
      <c r="B100" s="28"/>
      <c r="C100" s="28"/>
      <c r="D100" s="28"/>
    </row>
    <row r="101" spans="2:4" x14ac:dyDescent="0.3">
      <c r="B101" s="28"/>
      <c r="C101" s="28"/>
      <c r="D101" s="28"/>
    </row>
    <row r="102" spans="2:4" x14ac:dyDescent="0.3">
      <c r="B102" s="28"/>
      <c r="C102" s="28"/>
      <c r="D102" s="28"/>
    </row>
    <row r="103" spans="2:4" x14ac:dyDescent="0.3">
      <c r="B103" s="28"/>
      <c r="C103" s="28"/>
      <c r="D103" s="28"/>
    </row>
    <row r="104" spans="2:4" x14ac:dyDescent="0.3">
      <c r="B104" s="28"/>
      <c r="C104" s="28"/>
      <c r="D104" s="28"/>
    </row>
    <row r="105" spans="2:4" x14ac:dyDescent="0.3">
      <c r="B105" s="28"/>
      <c r="C105" s="28"/>
      <c r="D105" s="28"/>
    </row>
    <row r="106" spans="2:4" x14ac:dyDescent="0.3">
      <c r="B106" s="28"/>
      <c r="C106" s="28"/>
      <c r="D106" s="28"/>
    </row>
    <row r="107" spans="2:4" x14ac:dyDescent="0.3">
      <c r="B107" s="28"/>
      <c r="C107" s="28"/>
      <c r="D107" s="28"/>
    </row>
    <row r="108" spans="2:4" x14ac:dyDescent="0.3">
      <c r="B108" s="28"/>
      <c r="C108" s="28"/>
      <c r="D108" s="28"/>
    </row>
    <row r="109" spans="2:4" x14ac:dyDescent="0.3">
      <c r="B109" s="28"/>
      <c r="C109" s="28"/>
      <c r="D109" s="28"/>
    </row>
    <row r="110" spans="2:4" x14ac:dyDescent="0.3">
      <c r="B110" s="28"/>
      <c r="C110" s="28"/>
      <c r="D110" s="28"/>
    </row>
    <row r="111" spans="2:4" x14ac:dyDescent="0.3">
      <c r="B111" s="28"/>
      <c r="C111" s="28"/>
      <c r="D111" s="28"/>
    </row>
    <row r="112" spans="2:4" x14ac:dyDescent="0.3">
      <c r="B112" s="28"/>
      <c r="C112" s="28"/>
      <c r="D112" s="28"/>
    </row>
    <row r="113" spans="2:4" x14ac:dyDescent="0.3">
      <c r="B113" s="28"/>
      <c r="C113" s="28"/>
      <c r="D113" s="28"/>
    </row>
    <row r="114" spans="2:4" x14ac:dyDescent="0.3">
      <c r="B114" s="28"/>
      <c r="C114" s="28"/>
      <c r="D114" s="28"/>
    </row>
    <row r="115" spans="2:4" x14ac:dyDescent="0.3">
      <c r="B115" s="28"/>
      <c r="C115" s="28"/>
      <c r="D115" s="28"/>
    </row>
    <row r="116" spans="2:4" x14ac:dyDescent="0.3">
      <c r="B116" s="28"/>
      <c r="C116" s="28"/>
      <c r="D116" s="28"/>
    </row>
    <row r="117" spans="2:4" x14ac:dyDescent="0.3">
      <c r="B117" s="28"/>
      <c r="C117" s="28"/>
      <c r="D117" s="28"/>
    </row>
    <row r="118" spans="2:4" x14ac:dyDescent="0.3">
      <c r="B118" s="28"/>
      <c r="C118" s="28"/>
      <c r="D118" s="28"/>
    </row>
    <row r="119" spans="2:4" x14ac:dyDescent="0.3">
      <c r="B119" s="28"/>
      <c r="C119" s="28"/>
      <c r="D119" s="28"/>
    </row>
    <row r="120" spans="2:4" x14ac:dyDescent="0.3">
      <c r="B120" s="28"/>
      <c r="C120" s="28"/>
      <c r="D120" s="28"/>
    </row>
    <row r="121" spans="2:4" x14ac:dyDescent="0.3">
      <c r="B121" s="28"/>
      <c r="C121" s="28"/>
      <c r="D121" s="28"/>
    </row>
    <row r="122" spans="2:4" x14ac:dyDescent="0.3">
      <c r="B122" s="28"/>
      <c r="C122" s="28"/>
      <c r="D122" s="28"/>
    </row>
    <row r="123" spans="2:4" x14ac:dyDescent="0.3">
      <c r="B123" s="28"/>
      <c r="C123" s="28"/>
      <c r="D123" s="28"/>
    </row>
    <row r="124" spans="2:4" x14ac:dyDescent="0.3">
      <c r="B124" s="28"/>
      <c r="C124" s="28"/>
      <c r="D124" s="28"/>
    </row>
    <row r="125" spans="2:4" x14ac:dyDescent="0.3">
      <c r="B125" s="28"/>
      <c r="C125" s="28"/>
      <c r="D125" s="28"/>
    </row>
    <row r="126" spans="2:4" x14ac:dyDescent="0.3">
      <c r="B126" s="28"/>
      <c r="C126" s="28"/>
      <c r="D126" s="28"/>
    </row>
    <row r="127" spans="2:4" x14ac:dyDescent="0.3">
      <c r="B127" s="28"/>
      <c r="C127" s="28"/>
      <c r="D127" s="28"/>
    </row>
    <row r="128" spans="2:4" x14ac:dyDescent="0.3">
      <c r="B128" s="28"/>
      <c r="C128" s="28"/>
      <c r="D128" s="28"/>
    </row>
    <row r="129" spans="2:4" x14ac:dyDescent="0.3">
      <c r="B129" s="28"/>
      <c r="C129" s="28"/>
      <c r="D129" s="28"/>
    </row>
    <row r="130" spans="2:4" x14ac:dyDescent="0.3">
      <c r="B130" s="28"/>
      <c r="C130" s="28"/>
      <c r="D130" s="28"/>
    </row>
    <row r="131" spans="2:4" x14ac:dyDescent="0.3">
      <c r="B131" s="28"/>
      <c r="C131" s="28"/>
      <c r="D131" s="28"/>
    </row>
    <row r="132" spans="2:4" x14ac:dyDescent="0.3">
      <c r="B132" s="28"/>
      <c r="C132" s="28"/>
      <c r="D132" s="28"/>
    </row>
    <row r="133" spans="2:4" x14ac:dyDescent="0.3">
      <c r="B133" s="28"/>
      <c r="C133" s="28"/>
      <c r="D133" s="28"/>
    </row>
    <row r="134" spans="2:4" x14ac:dyDescent="0.3">
      <c r="B134" s="28"/>
      <c r="C134" s="28"/>
      <c r="D134" s="28"/>
    </row>
    <row r="135" spans="2:4" x14ac:dyDescent="0.3">
      <c r="B135" s="28"/>
      <c r="C135" s="28"/>
      <c r="D135" s="28"/>
    </row>
    <row r="136" spans="2:4" x14ac:dyDescent="0.3">
      <c r="B136" s="28"/>
      <c r="C136" s="28"/>
      <c r="D136" s="28"/>
    </row>
    <row r="137" spans="2:4" x14ac:dyDescent="0.3">
      <c r="B137" s="28"/>
      <c r="C137" s="28"/>
      <c r="D137" s="28"/>
    </row>
    <row r="138" spans="2:4" x14ac:dyDescent="0.3">
      <c r="B138" s="28"/>
      <c r="C138" s="28"/>
      <c r="D138" s="28"/>
    </row>
    <row r="139" spans="2:4" x14ac:dyDescent="0.3">
      <c r="B139" s="28"/>
      <c r="C139" s="28"/>
      <c r="D139" s="28"/>
    </row>
    <row r="140" spans="2:4" x14ac:dyDescent="0.3">
      <c r="B140" s="28"/>
      <c r="C140" s="28"/>
      <c r="D140" s="28"/>
    </row>
    <row r="141" spans="2:4" x14ac:dyDescent="0.3">
      <c r="B141" s="28"/>
      <c r="C141" s="28"/>
      <c r="D141" s="28"/>
    </row>
    <row r="142" spans="2:4" x14ac:dyDescent="0.3">
      <c r="B142" s="28"/>
      <c r="C142" s="28"/>
      <c r="D142" s="28"/>
    </row>
    <row r="143" spans="2:4" x14ac:dyDescent="0.3">
      <c r="B143" s="28"/>
      <c r="C143" s="28"/>
      <c r="D143" s="28"/>
    </row>
    <row r="144" spans="2:4" x14ac:dyDescent="0.3">
      <c r="B144" s="28"/>
      <c r="C144" s="28"/>
      <c r="D144" s="28"/>
    </row>
    <row r="145" spans="2:4" x14ac:dyDescent="0.3">
      <c r="B145" s="28"/>
      <c r="C145" s="28"/>
      <c r="D145" s="28"/>
    </row>
    <row r="146" spans="2:4" x14ac:dyDescent="0.3">
      <c r="B146" s="28"/>
      <c r="C146" s="28"/>
      <c r="D146" s="28"/>
    </row>
    <row r="147" spans="2:4" x14ac:dyDescent="0.3">
      <c r="B147" s="28"/>
      <c r="C147" s="28"/>
      <c r="D147" s="28"/>
    </row>
    <row r="148" spans="2:4" x14ac:dyDescent="0.3">
      <c r="B148" s="28"/>
      <c r="C148" s="28"/>
      <c r="D148" s="28"/>
    </row>
    <row r="149" spans="2:4" x14ac:dyDescent="0.3">
      <c r="B149" s="28"/>
      <c r="C149" s="28"/>
      <c r="D149" s="28"/>
    </row>
    <row r="150" spans="2:4" x14ac:dyDescent="0.3">
      <c r="B150" s="28"/>
      <c r="C150" s="28"/>
      <c r="D150" s="28"/>
    </row>
    <row r="151" spans="2:4" x14ac:dyDescent="0.3">
      <c r="B151" s="28"/>
      <c r="C151" s="28"/>
      <c r="D151" s="28"/>
    </row>
    <row r="152" spans="2:4" x14ac:dyDescent="0.3">
      <c r="B152" s="28"/>
      <c r="C152" s="28"/>
      <c r="D152" s="28"/>
    </row>
    <row r="153" spans="2:4" x14ac:dyDescent="0.3">
      <c r="B153" s="28"/>
      <c r="C153" s="28"/>
      <c r="D153" s="28"/>
    </row>
    <row r="154" spans="2:4" x14ac:dyDescent="0.3">
      <c r="B154" s="28"/>
      <c r="C154" s="28"/>
      <c r="D154" s="28"/>
    </row>
    <row r="155" spans="2:4" x14ac:dyDescent="0.3">
      <c r="B155" s="28"/>
      <c r="C155" s="28"/>
      <c r="D155" s="28"/>
    </row>
    <row r="156" spans="2:4" x14ac:dyDescent="0.3">
      <c r="B156" s="28"/>
      <c r="C156" s="28"/>
      <c r="D156" s="28"/>
    </row>
    <row r="157" spans="2:4" x14ac:dyDescent="0.3">
      <c r="B157" s="28"/>
      <c r="C157" s="28"/>
      <c r="D157" s="28"/>
    </row>
    <row r="158" spans="2:4" x14ac:dyDescent="0.3">
      <c r="B158" s="28"/>
      <c r="C158" s="28"/>
      <c r="D158" s="28"/>
    </row>
    <row r="159" spans="2:4" x14ac:dyDescent="0.3">
      <c r="B159" s="28"/>
      <c r="C159" s="28"/>
      <c r="D159" s="28"/>
    </row>
    <row r="160" spans="2:4" x14ac:dyDescent="0.3">
      <c r="B160" s="28"/>
      <c r="C160" s="28"/>
      <c r="D160" s="28"/>
    </row>
    <row r="161" spans="2:4" x14ac:dyDescent="0.3">
      <c r="B161" s="28"/>
      <c r="C161" s="28"/>
      <c r="D161" s="28"/>
    </row>
    <row r="162" spans="2:4" x14ac:dyDescent="0.3">
      <c r="B162" s="28"/>
      <c r="C162" s="28"/>
      <c r="D162" s="28"/>
    </row>
    <row r="163" spans="2:4" x14ac:dyDescent="0.3">
      <c r="B163" s="28"/>
      <c r="C163" s="28"/>
      <c r="D163" s="28"/>
    </row>
    <row r="164" spans="2:4" x14ac:dyDescent="0.3">
      <c r="B164" s="28"/>
      <c r="C164" s="28"/>
      <c r="D164" s="28"/>
    </row>
    <row r="165" spans="2:4" x14ac:dyDescent="0.3">
      <c r="B165" s="28"/>
      <c r="C165" s="28"/>
      <c r="D165" s="28"/>
    </row>
    <row r="166" spans="2:4" x14ac:dyDescent="0.3">
      <c r="B166" s="28"/>
      <c r="C166" s="28"/>
      <c r="D166" s="28"/>
    </row>
    <row r="167" spans="2:4" x14ac:dyDescent="0.3">
      <c r="B167" s="28"/>
      <c r="C167" s="28"/>
      <c r="D167" s="28"/>
    </row>
    <row r="168" spans="2:4" x14ac:dyDescent="0.3">
      <c r="B168" s="28"/>
      <c r="C168" s="28"/>
      <c r="D168" s="28"/>
    </row>
    <row r="169" spans="2:4" x14ac:dyDescent="0.3">
      <c r="B169" s="28"/>
      <c r="C169" s="28"/>
      <c r="D169" s="28"/>
    </row>
    <row r="170" spans="2:4" x14ac:dyDescent="0.3">
      <c r="B170" s="28"/>
      <c r="C170" s="28"/>
      <c r="D170" s="28"/>
    </row>
  </sheetData>
  <mergeCells count="1">
    <mergeCell ref="F3:H3"/>
  </mergeCells>
  <conditionalFormatting sqref="G4:G32">
    <cfRule type="expression" dxfId="32" priority="4">
      <formula>D4=C4</formula>
    </cfRule>
    <cfRule type="expression" dxfId="31" priority="5">
      <formula>D4&lt;C4</formula>
    </cfRule>
    <cfRule type="expression" dxfId="30" priority="6">
      <formula>D4&gt;C4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H63"/>
  <sheetViews>
    <sheetView showGridLines="0" zoomScale="90" zoomScaleNormal="90" workbookViewId="0">
      <selection activeCell="A14" sqref="A14"/>
    </sheetView>
  </sheetViews>
  <sheetFormatPr defaultColWidth="9.109375" defaultRowHeight="14.4" x14ac:dyDescent="0.3"/>
  <cols>
    <col min="1" max="1" width="22.6640625" style="37" customWidth="1"/>
    <col min="2" max="2" width="16.6640625" style="37" bestFit="1" customWidth="1"/>
    <col min="3" max="3" width="17.5546875" style="37" bestFit="1" customWidth="1"/>
    <col min="4" max="4" width="14.5546875" style="37" bestFit="1" customWidth="1"/>
    <col min="5" max="5" width="13.44140625" style="37" bestFit="1" customWidth="1"/>
    <col min="6" max="6" width="12.88671875" style="37" bestFit="1" customWidth="1"/>
    <col min="7" max="7" width="15" style="37" bestFit="1" customWidth="1"/>
    <col min="8" max="8" width="6.33203125" style="37" customWidth="1"/>
    <col min="9" max="9" width="5.44140625" style="37" bestFit="1" customWidth="1"/>
    <col min="10" max="10" width="6" style="37" bestFit="1" customWidth="1"/>
    <col min="11" max="11" width="24.6640625" style="46" bestFit="1" customWidth="1"/>
    <col min="12" max="12" width="3" style="37" customWidth="1"/>
    <col min="13" max="13" width="9.109375" style="46"/>
    <col min="14" max="14" width="2.88671875" style="37" customWidth="1"/>
    <col min="15" max="15" width="9.33203125" style="37" bestFit="1" customWidth="1"/>
    <col min="16" max="16" width="16.109375" style="37" bestFit="1" customWidth="1"/>
    <col min="17" max="17" width="24.6640625" style="37" bestFit="1" customWidth="1"/>
    <col min="18" max="18" width="3.33203125" style="37" customWidth="1"/>
    <col min="19" max="19" width="9.33203125" style="37" bestFit="1" customWidth="1"/>
    <col min="20" max="21" width="9.109375" style="37"/>
    <col min="22" max="22" width="25.88671875" style="37" bestFit="1" customWidth="1"/>
    <col min="23" max="23" width="21.44140625" style="46" bestFit="1" customWidth="1"/>
    <col min="24" max="24" width="9.109375" style="37"/>
    <col min="25" max="25" width="3.5546875" style="37" customWidth="1"/>
    <col min="26" max="26" width="9.109375" style="37"/>
    <col min="27" max="27" width="20" style="37" bestFit="1" customWidth="1"/>
    <col min="28" max="28" width="33.44140625" style="37" customWidth="1"/>
    <col min="29" max="30" width="9.109375" style="37"/>
    <col min="31" max="31" width="32.88671875" style="37" customWidth="1"/>
    <col min="32" max="32" width="14.5546875" style="37" bestFit="1" customWidth="1"/>
    <col min="33" max="33" width="15.6640625" style="37" bestFit="1" customWidth="1"/>
    <col min="34" max="16384" width="9.109375" style="37"/>
  </cols>
  <sheetData>
    <row r="1" spans="1:34" x14ac:dyDescent="0.3">
      <c r="A1" s="164" t="str">
        <f>A4&amp;" vs. "&amp;A5</f>
        <v>Total datorii curente vs. Total active curente</v>
      </c>
      <c r="B1" s="164"/>
      <c r="D1" s="161" t="s">
        <v>187</v>
      </c>
      <c r="E1" s="161" t="s">
        <v>188</v>
      </c>
      <c r="F1" s="161" t="s">
        <v>190</v>
      </c>
      <c r="G1" s="161" t="s">
        <v>116</v>
      </c>
      <c r="K1" s="46" t="str">
        <f>"Structura indicatorului "&amp;Grafice!O2&amp;" in "&amp;Grafice!U2</f>
        <v>Structura indicatorului Capitaluri&amp;Datorii in 2023</v>
      </c>
    </row>
    <row r="2" spans="1:34" x14ac:dyDescent="0.3">
      <c r="D2" s="47" t="s">
        <v>279</v>
      </c>
      <c r="E2" s="47" t="s">
        <v>280</v>
      </c>
      <c r="F2" s="47" t="s">
        <v>281</v>
      </c>
      <c r="J2" s="47" t="s">
        <v>104</v>
      </c>
      <c r="K2" s="46" t="s">
        <v>89</v>
      </c>
      <c r="M2" s="46" t="s">
        <v>90</v>
      </c>
      <c r="W2" s="46" t="s">
        <v>91</v>
      </c>
    </row>
    <row r="3" spans="1:34" x14ac:dyDescent="0.3">
      <c r="B3" s="41"/>
      <c r="C3" s="41"/>
      <c r="D3" s="41">
        <f>Data_Interim!H3</f>
        <v>2021</v>
      </c>
      <c r="E3" s="41">
        <f>Data_Interim!I3</f>
        <v>2022</v>
      </c>
      <c r="F3" s="41">
        <f>Data_Interim!J3</f>
        <v>2023</v>
      </c>
      <c r="I3" s="83">
        <v>2023</v>
      </c>
      <c r="J3" s="37">
        <f>F9</f>
        <v>2023</v>
      </c>
      <c r="K3" s="46" t="s">
        <v>5</v>
      </c>
      <c r="M3" s="46" t="s">
        <v>134</v>
      </c>
      <c r="O3" s="37">
        <v>1</v>
      </c>
      <c r="P3" s="37" t="s">
        <v>136</v>
      </c>
      <c r="Q3" s="37" t="s">
        <v>5</v>
      </c>
      <c r="R3" s="37" t="str">
        <f>IF(P3=$A$8,O3,"")</f>
        <v/>
      </c>
      <c r="S3" s="37">
        <f>SMALL($R$3:$R$10,ROWS(R3:$R$3))</f>
        <v>7</v>
      </c>
      <c r="T3" s="37" t="str">
        <f>VLOOKUP(S3,$O$3:$Q$10,3,0)</f>
        <v>Total datorii</v>
      </c>
      <c r="V3" s="37" t="s">
        <v>5</v>
      </c>
      <c r="W3" s="46" t="s">
        <v>125</v>
      </c>
      <c r="Z3" s="37">
        <v>1</v>
      </c>
      <c r="AA3" s="47" t="s">
        <v>125</v>
      </c>
      <c r="AB3" s="47" t="s">
        <v>1</v>
      </c>
      <c r="AC3" s="37" t="str">
        <f>IF(AA3=Grafice!$F$20,hiddenPage!Z3,"")</f>
        <v/>
      </c>
      <c r="AD3" s="37">
        <f>SMALL($AC$3:$AC$28,ROWS($AC3:AC$3))</f>
        <v>5</v>
      </c>
      <c r="AE3" s="37" t="str">
        <f>IF(ISERROR(VLOOKUP(AD3,$Z$3:$AB$30,3,0)),"",VLOOKUP(AD3,$Z$3:$AB$30,3,0))</f>
        <v xml:space="preserve">Stocuri </v>
      </c>
      <c r="AF3" s="42" t="e">
        <f>SUMIF('1.Pozitia Financiara'!A:A,hiddenPage!AE3,'1.Pozitia Financiara'!#REF!)+SUMIF('1.Pozitia Financiara'!A:A,hiddenPage!AE3,'1.Pozitia Financiara'!#REF!)+SUMIF('1.Pozitia Financiara'!A:A,hiddenPage!AE3,'1.Pozitia Financiara'!#REF!)+SUMIF('1.Pozitia Financiara'!A:A,hiddenPage!AE3,'1.Pozitia Financiara'!#REF!)+SUMIF('1.Pozitia Financiara'!A:A,hiddenPage!AE3,'1.Pozitia Financiara'!B:B)+SUMIF('1.Pozitia Financiara'!A:A,hiddenPage!AE3,'1.Pozitia Financiara'!C:C)+SUMIF('1.Pozitia Financiara'!A:A,hiddenPage!AE3,'1.Pozitia Financiara'!D:D)</f>
        <v>#REF!</v>
      </c>
      <c r="AG3" s="51" t="e">
        <f>LARGE($AF$3:$AF$13,ROWS(AE3:$AE$3))</f>
        <v>#REF!</v>
      </c>
      <c r="AH3" s="37" t="e">
        <f t="shared" ref="AH3:AH13" si="0">INDEX(AE:AE,MATCH(AG3,AF:AF,0))</f>
        <v>#REF!</v>
      </c>
    </row>
    <row r="4" spans="1:34" x14ac:dyDescent="0.3">
      <c r="A4" s="40" t="str">
        <f>Grafice!F2</f>
        <v>Total datorii curente</v>
      </c>
      <c r="B4" s="42"/>
      <c r="C4" s="42"/>
      <c r="D4" s="42">
        <f>SUMIF('1.Pozitia Financiara'!$A:$A,$A4,'1.Pozitia Financiara'!B:B)</f>
        <v>80427310</v>
      </c>
      <c r="E4" s="42">
        <f>SUMIF('1.Pozitia Financiara'!$A:$A,$A4,'1.Pozitia Financiara'!C:C)</f>
        <v>94013349</v>
      </c>
      <c r="F4" s="42">
        <f>SUMIF('1.Pozitia Financiara'!$A:$A,$A4,'1.Pozitia Financiara'!D:D)</f>
        <v>50867115</v>
      </c>
      <c r="J4" s="37">
        <f>E9</f>
        <v>2022</v>
      </c>
      <c r="K4" s="46" t="s">
        <v>8</v>
      </c>
      <c r="M4" s="46" t="s">
        <v>136</v>
      </c>
      <c r="O4" s="37">
        <v>2</v>
      </c>
      <c r="P4" s="37" t="s">
        <v>136</v>
      </c>
      <c r="Q4" s="37" t="s">
        <v>8</v>
      </c>
      <c r="R4" s="37" t="str">
        <f t="shared" ref="R4:R10" si="1">IF(P4=$A$8,O4,"")</f>
        <v/>
      </c>
      <c r="S4" s="37">
        <f>SMALL($R$3:$R$10,ROWS(R$3:$R4))</f>
        <v>8</v>
      </c>
      <c r="T4" s="37" t="str">
        <f t="shared" ref="T4:T10" si="2">VLOOKUP(S4,$O$3:$Q$10,3,0)</f>
        <v>Total capitaluri</v>
      </c>
      <c r="V4" s="46" t="s">
        <v>8</v>
      </c>
      <c r="W4" s="46" t="s">
        <v>126</v>
      </c>
      <c r="Z4" s="37">
        <f>Z3+1</f>
        <v>2</v>
      </c>
      <c r="AA4" s="47" t="s">
        <v>125</v>
      </c>
      <c r="AB4" s="47" t="s">
        <v>3</v>
      </c>
      <c r="AC4" s="37" t="str">
        <f>IF(AA4=Grafice!$F$20,hiddenPage!Z4,"")</f>
        <v/>
      </c>
      <c r="AD4" s="37">
        <f>SMALL($AC$3:$AC$28,ROWS($AC$3:AC4))</f>
        <v>6</v>
      </c>
      <c r="AE4" s="37" t="str">
        <f t="shared" ref="AE4:AE13" si="3">IF(ISERROR(VLOOKUP(AD4,$Z$3:$AB$30,3,0)),"",VLOOKUP(AD4,$Z$3:$AB$30,3,0))</f>
        <v>Creante comerciale si alte creante</v>
      </c>
      <c r="AF4" s="42" t="e">
        <f>SUMIF('1.Pozitia Financiara'!A:A,hiddenPage!AE4,'1.Pozitia Financiara'!#REF!)+SUMIF('1.Pozitia Financiara'!A:A,hiddenPage!AE4,'1.Pozitia Financiara'!#REF!)+SUMIF('1.Pozitia Financiara'!A:A,hiddenPage!AE4,'1.Pozitia Financiara'!#REF!)+SUMIF('1.Pozitia Financiara'!A:A,hiddenPage!AE4,'1.Pozitia Financiara'!#REF!)+SUMIF('1.Pozitia Financiara'!A:A,hiddenPage!AE4,'1.Pozitia Financiara'!B:B)+SUMIF('1.Pozitia Financiara'!A:A,hiddenPage!AE4,'1.Pozitia Financiara'!C:C)+SUMIF('1.Pozitia Financiara'!A:A,hiddenPage!AE4,'1.Pozitia Financiara'!D:D)</f>
        <v>#REF!</v>
      </c>
      <c r="AG4" s="51" t="e">
        <f>LARGE($AF$3:$AF$13,ROWS(AE$3:$AE4))</f>
        <v>#REF!</v>
      </c>
      <c r="AH4" s="37" t="e">
        <f t="shared" si="0"/>
        <v>#REF!</v>
      </c>
    </row>
    <row r="5" spans="1:34" x14ac:dyDescent="0.3">
      <c r="A5" s="40" t="str">
        <f>Grafice!F3</f>
        <v>Total active curente</v>
      </c>
      <c r="B5" s="42"/>
      <c r="C5" s="42"/>
      <c r="D5" s="42">
        <f>SUMIF('1.Pozitia Financiara'!$A:$A,$A5,'1.Pozitia Financiara'!B:B)</f>
        <v>92321417</v>
      </c>
      <c r="E5" s="42">
        <f>SUMIF('1.Pozitia Financiara'!$A:$A,$A5,'1.Pozitia Financiara'!C:C)</f>
        <v>113611789</v>
      </c>
      <c r="F5" s="42">
        <f>SUMIF('1.Pozitia Financiara'!$A:$A,$A5,'1.Pozitia Financiara'!D:D)</f>
        <v>108516463</v>
      </c>
      <c r="J5" s="37">
        <f>D9</f>
        <v>2021</v>
      </c>
      <c r="K5" s="46" t="s">
        <v>10</v>
      </c>
      <c r="M5" s="46" t="s">
        <v>19</v>
      </c>
      <c r="O5" s="37">
        <v>3</v>
      </c>
      <c r="P5" s="37" t="s">
        <v>134</v>
      </c>
      <c r="Q5" s="37" t="s">
        <v>21</v>
      </c>
      <c r="R5" s="37" t="str">
        <f t="shared" si="1"/>
        <v/>
      </c>
      <c r="S5" s="37" t="e">
        <f>SMALL($R$3:$R$10,ROWS(R$3:$R5))</f>
        <v>#NUM!</v>
      </c>
      <c r="T5" s="37" t="e">
        <f t="shared" si="2"/>
        <v>#NUM!</v>
      </c>
      <c r="V5" s="46" t="s">
        <v>21</v>
      </c>
      <c r="W5" s="46" t="s">
        <v>137</v>
      </c>
      <c r="Z5" s="37">
        <f t="shared" ref="Z5:Z24" si="4">Z4+1</f>
        <v>3</v>
      </c>
      <c r="AA5" s="47" t="s">
        <v>125</v>
      </c>
      <c r="AB5" s="47" t="s">
        <v>193</v>
      </c>
      <c r="AC5" s="37" t="str">
        <f>IF(AA5=Grafice!$F$20,hiddenPage!Z5,"")</f>
        <v/>
      </c>
      <c r="AD5" s="37">
        <f>SMALL($AC$3:$AC$28,ROWS($AC$3:AC5))</f>
        <v>7</v>
      </c>
      <c r="AE5" s="37" t="str">
        <f t="shared" si="3"/>
        <v xml:space="preserve">Impozite de recuperat </v>
      </c>
      <c r="AF5" s="42" t="e">
        <f>SUMIF('1.Pozitia Financiara'!A:A,hiddenPage!AE5,'1.Pozitia Financiara'!#REF!)+SUMIF('1.Pozitia Financiara'!A:A,hiddenPage!AE5,'1.Pozitia Financiara'!#REF!)+SUMIF('1.Pozitia Financiara'!A:A,hiddenPage!AE5,'1.Pozitia Financiara'!#REF!)+SUMIF('1.Pozitia Financiara'!A:A,hiddenPage!AE5,'1.Pozitia Financiara'!#REF!)+SUMIF('1.Pozitia Financiara'!A:A,hiddenPage!AE5,'1.Pozitia Financiara'!B:B)+SUMIF('1.Pozitia Financiara'!A:A,hiddenPage!AE5,'1.Pozitia Financiara'!C:C)+SUMIF('1.Pozitia Financiara'!A:A,hiddenPage!AE5,'1.Pozitia Financiara'!D:D)</f>
        <v>#REF!</v>
      </c>
      <c r="AG5" s="51" t="e">
        <f>LARGE($AF$3:$AF$13,ROWS(AE$3:$AE5))</f>
        <v>#REF!</v>
      </c>
      <c r="AH5" s="37" t="e">
        <f t="shared" si="0"/>
        <v>#REF!</v>
      </c>
    </row>
    <row r="6" spans="1:34" x14ac:dyDescent="0.3">
      <c r="K6" s="46" t="s">
        <v>18</v>
      </c>
      <c r="M6" s="46" t="s">
        <v>135</v>
      </c>
      <c r="O6" s="37">
        <v>4</v>
      </c>
      <c r="P6" s="37" t="s">
        <v>134</v>
      </c>
      <c r="Q6" s="37" t="s">
        <v>23</v>
      </c>
      <c r="R6" s="37" t="str">
        <f t="shared" si="1"/>
        <v/>
      </c>
      <c r="S6" s="37" t="e">
        <f>SMALL($R$3:$R$10,ROWS(R$3:$R6))</f>
        <v>#NUM!</v>
      </c>
      <c r="T6" s="37" t="e">
        <f t="shared" si="2"/>
        <v>#NUM!</v>
      </c>
      <c r="V6" s="46" t="s">
        <v>23</v>
      </c>
      <c r="W6" s="46" t="s">
        <v>138</v>
      </c>
      <c r="Z6" s="37">
        <f t="shared" si="4"/>
        <v>4</v>
      </c>
      <c r="AA6" s="47" t="s">
        <v>125</v>
      </c>
      <c r="AB6" s="47" t="s">
        <v>194</v>
      </c>
      <c r="AC6" s="37" t="str">
        <f>IF(AA6=Grafice!$F$20,hiddenPage!Z6,"")</f>
        <v/>
      </c>
      <c r="AD6" s="37">
        <f>SMALL($AC$3:$AC$28,ROWS($AC$3:AC6))</f>
        <v>8</v>
      </c>
      <c r="AE6" s="37" t="str">
        <f t="shared" si="3"/>
        <v>Alte active financiare curente</v>
      </c>
      <c r="AF6" s="42" t="e">
        <f>SUMIF('1.Pozitia Financiara'!A:A,hiddenPage!AE6,'1.Pozitia Financiara'!#REF!)+SUMIF('1.Pozitia Financiara'!A:A,hiddenPage!AE6,'1.Pozitia Financiara'!#REF!)+SUMIF('1.Pozitia Financiara'!A:A,hiddenPage!AE6,'1.Pozitia Financiara'!#REF!)+SUMIF('1.Pozitia Financiara'!A:A,hiddenPage!AE6,'1.Pozitia Financiara'!#REF!)+SUMIF('1.Pozitia Financiara'!A:A,hiddenPage!AE6,'1.Pozitia Financiara'!B:B)+SUMIF('1.Pozitia Financiara'!A:A,hiddenPage!AE6,'1.Pozitia Financiara'!C:C)+SUMIF('1.Pozitia Financiara'!A:A,hiddenPage!AE6,'1.Pozitia Financiara'!D:D)</f>
        <v>#REF!</v>
      </c>
      <c r="AG6" s="51" t="e">
        <f>LARGE($AF$3:$AF$13,ROWS(AE$3:$AE6))</f>
        <v>#REF!</v>
      </c>
      <c r="AH6" s="37" t="e">
        <f t="shared" si="0"/>
        <v>#REF!</v>
      </c>
    </row>
    <row r="7" spans="1:34" x14ac:dyDescent="0.3">
      <c r="A7" s="164" t="str">
        <f>A10&amp;" vs. "&amp;A11</f>
        <v>Total datorii vs. Total capitaluri</v>
      </c>
      <c r="B7" s="164"/>
      <c r="C7" s="164"/>
      <c r="D7" s="164"/>
      <c r="K7" s="46" t="s">
        <v>21</v>
      </c>
      <c r="O7" s="37">
        <v>5</v>
      </c>
      <c r="P7" s="37" t="s">
        <v>19</v>
      </c>
      <c r="Q7" s="37" t="s">
        <v>160</v>
      </c>
      <c r="R7" s="37" t="str">
        <f t="shared" si="1"/>
        <v/>
      </c>
      <c r="S7" s="37" t="e">
        <f>SMALL($R$3:$R$10,ROWS(R$3:$R7))</f>
        <v>#NUM!</v>
      </c>
      <c r="T7" s="37" t="e">
        <f t="shared" si="2"/>
        <v>#NUM!</v>
      </c>
      <c r="V7" s="46" t="s">
        <v>18</v>
      </c>
      <c r="W7" s="46" t="s">
        <v>127</v>
      </c>
      <c r="Z7" s="37">
        <f t="shared" si="4"/>
        <v>5</v>
      </c>
      <c r="AA7" s="47" t="s">
        <v>126</v>
      </c>
      <c r="AB7" s="47" t="s">
        <v>195</v>
      </c>
      <c r="AC7" s="37">
        <f>IF(AA7=Grafice!$F$20,hiddenPage!Z7,"")</f>
        <v>5</v>
      </c>
      <c r="AD7" s="37">
        <f>SMALL($AC$3:$AC$28,ROWS($AC$3:AC7))</f>
        <v>9</v>
      </c>
      <c r="AE7" s="37" t="str">
        <f t="shared" si="3"/>
        <v>Alte active nefinanciare curente</v>
      </c>
      <c r="AF7" s="42" t="e">
        <f>SUMIF('1.Pozitia Financiara'!A:A,hiddenPage!AE7,'1.Pozitia Financiara'!#REF!)+SUMIF('1.Pozitia Financiara'!A:A,hiddenPage!AE7,'1.Pozitia Financiara'!#REF!)+SUMIF('1.Pozitia Financiara'!A:A,hiddenPage!AE7,'1.Pozitia Financiara'!#REF!)+SUMIF('1.Pozitia Financiara'!A:A,hiddenPage!AE7,'1.Pozitia Financiara'!#REF!)+SUMIF('1.Pozitia Financiara'!A:A,hiddenPage!AE7,'1.Pozitia Financiara'!B:B)+SUMIF('1.Pozitia Financiara'!A:A,hiddenPage!AE7,'1.Pozitia Financiara'!C:C)+SUMIF('1.Pozitia Financiara'!A:A,hiddenPage!AE7,'1.Pozitia Financiara'!D:D)</f>
        <v>#REF!</v>
      </c>
      <c r="AG7" s="51" t="e">
        <f>LARGE($AF$3:$AF$13,ROWS(AE$3:$AE7))</f>
        <v>#REF!</v>
      </c>
      <c r="AH7" s="37" t="e">
        <f t="shared" si="0"/>
        <v>#REF!</v>
      </c>
    </row>
    <row r="8" spans="1:34" x14ac:dyDescent="0.3">
      <c r="A8" s="37" t="str">
        <f>Grafice!O2</f>
        <v>Capitaluri&amp;Datorii</v>
      </c>
      <c r="B8" s="37">
        <f>IF(B9=Grafice!$U$2,1,0)</f>
        <v>0</v>
      </c>
      <c r="C8" s="37">
        <f>IF(C9=Grafice!$U$2,1,0)</f>
        <v>0</v>
      </c>
      <c r="D8" s="37">
        <f>IF(D9=Grafice!$U$2,1,0)</f>
        <v>0</v>
      </c>
      <c r="E8" s="37">
        <f>IF(E9=Grafice!$U$2,1,0)</f>
        <v>0</v>
      </c>
      <c r="F8" s="37">
        <f>IF(F9=Grafice!$U$2,1,0)</f>
        <v>1</v>
      </c>
      <c r="K8" s="46" t="s">
        <v>23</v>
      </c>
      <c r="O8" s="37">
        <v>6</v>
      </c>
      <c r="P8" s="37" t="s">
        <v>19</v>
      </c>
      <c r="Q8" s="37" t="s">
        <v>164</v>
      </c>
      <c r="R8" s="37" t="str">
        <f t="shared" si="1"/>
        <v/>
      </c>
      <c r="S8" s="37" t="e">
        <f>SMALL($R$3:$R$10,ROWS(R$3:$R8))</f>
        <v>#NUM!</v>
      </c>
      <c r="T8" s="37" t="e">
        <f t="shared" si="2"/>
        <v>#NUM!</v>
      </c>
      <c r="Z8" s="37">
        <f t="shared" si="4"/>
        <v>6</v>
      </c>
      <c r="AA8" s="47" t="s">
        <v>126</v>
      </c>
      <c r="AB8" s="47" t="s">
        <v>7</v>
      </c>
      <c r="AC8" s="37">
        <f>IF(AA8=Grafice!$F$20,hiddenPage!Z8,"")</f>
        <v>6</v>
      </c>
      <c r="AD8" s="37">
        <f>SMALL($AC$3:$AC$28,ROWS($AC$3:AC8))</f>
        <v>10</v>
      </c>
      <c r="AE8" s="37" t="str">
        <f t="shared" si="3"/>
        <v xml:space="preserve">Numerar si echivalente de numerar </v>
      </c>
      <c r="AF8" s="42" t="e">
        <f>SUMIF('1.Pozitia Financiara'!A:A,hiddenPage!AE8,'1.Pozitia Financiara'!#REF!)+SUMIF('1.Pozitia Financiara'!A:A,hiddenPage!AE8,'1.Pozitia Financiara'!#REF!)+SUMIF('1.Pozitia Financiara'!A:A,hiddenPage!AE8,'1.Pozitia Financiara'!#REF!)+SUMIF('1.Pozitia Financiara'!A:A,hiddenPage!AE8,'1.Pozitia Financiara'!#REF!)+SUMIF('1.Pozitia Financiara'!A:A,hiddenPage!AE8,'1.Pozitia Financiara'!B:B)+SUMIF('1.Pozitia Financiara'!A:A,hiddenPage!AE8,'1.Pozitia Financiara'!C:C)+SUMIF('1.Pozitia Financiara'!A:A,hiddenPage!AE8,'1.Pozitia Financiara'!D:D)</f>
        <v>#REF!</v>
      </c>
      <c r="AG8" s="51" t="e">
        <f>LARGE($AF$3:$AF$13,ROWS(AE$3:$AE8))</f>
        <v>#REF!</v>
      </c>
      <c r="AH8" s="37" t="e">
        <f t="shared" si="0"/>
        <v>#REF!</v>
      </c>
    </row>
    <row r="9" spans="1:34" x14ac:dyDescent="0.3">
      <c r="B9" s="41"/>
      <c r="C9" s="41"/>
      <c r="D9" s="41">
        <f t="shared" ref="D9:F9" si="5">D3</f>
        <v>2021</v>
      </c>
      <c r="E9" s="41">
        <f t="shared" si="5"/>
        <v>2022</v>
      </c>
      <c r="F9" s="41">
        <f t="shared" si="5"/>
        <v>2023</v>
      </c>
      <c r="G9" s="58">
        <f>Grafice!F21</f>
        <v>2023</v>
      </c>
      <c r="K9" s="46" t="s">
        <v>25</v>
      </c>
      <c r="O9" s="37">
        <v>7</v>
      </c>
      <c r="P9" s="37" t="s">
        <v>135</v>
      </c>
      <c r="Q9" s="37" t="s">
        <v>25</v>
      </c>
      <c r="R9" s="37">
        <f t="shared" si="1"/>
        <v>7</v>
      </c>
      <c r="S9" s="37" t="e">
        <f>SMALL($R$3:$R$10,ROWS(R$3:$R9))</f>
        <v>#NUM!</v>
      </c>
      <c r="T9" s="37" t="e">
        <f t="shared" si="2"/>
        <v>#NUM!</v>
      </c>
      <c r="Z9" s="37">
        <f t="shared" si="4"/>
        <v>7</v>
      </c>
      <c r="AA9" s="47" t="s">
        <v>126</v>
      </c>
      <c r="AB9" s="47" t="s">
        <v>196</v>
      </c>
      <c r="AC9" s="37">
        <f>IF(AA9=Grafice!$F$20,hiddenPage!Z9,"")</f>
        <v>7</v>
      </c>
      <c r="AD9" s="37">
        <f>SMALL($AC$3:$AC$28,ROWS($AC$3:AC9))</f>
        <v>11</v>
      </c>
      <c r="AE9" s="37" t="str">
        <f t="shared" si="3"/>
        <v>Active imobilizante detinute in vederea vanzarii</v>
      </c>
      <c r="AF9" s="42" t="e">
        <f>SUMIF('1.Pozitia Financiara'!A:A,hiddenPage!AE9,'1.Pozitia Financiara'!#REF!)+SUMIF('1.Pozitia Financiara'!A:A,hiddenPage!AE9,'1.Pozitia Financiara'!#REF!)+SUMIF('1.Pozitia Financiara'!A:A,hiddenPage!AE9,'1.Pozitia Financiara'!#REF!)+SUMIF('1.Pozitia Financiara'!A:A,hiddenPage!AE9,'1.Pozitia Financiara'!#REF!)+SUMIF('1.Pozitia Financiara'!A:A,hiddenPage!AE9,'1.Pozitia Financiara'!B:B)+SUMIF('1.Pozitia Financiara'!A:A,hiddenPage!AE9,'1.Pozitia Financiara'!C:C)+SUMIF('1.Pozitia Financiara'!A:A,hiddenPage!AE9,'1.Pozitia Financiara'!D:D)</f>
        <v>#REF!</v>
      </c>
      <c r="AG9" s="51" t="e">
        <f>LARGE($AF$3:$AF$13,ROWS(AE$3:$AE9))</f>
        <v>#REF!</v>
      </c>
      <c r="AH9" s="37" t="e">
        <f t="shared" si="0"/>
        <v>#REF!</v>
      </c>
    </row>
    <row r="10" spans="1:34" x14ac:dyDescent="0.3">
      <c r="A10" s="40" t="str">
        <f>T3</f>
        <v>Total datorii</v>
      </c>
      <c r="B10" s="42"/>
      <c r="C10" s="42"/>
      <c r="D10" s="42">
        <f>SUMIF('1.Pozitia Financiara'!$A:$A,$A10,'1.Pozitia Financiara'!B:B)</f>
        <v>102626108</v>
      </c>
      <c r="E10" s="42">
        <f>SUMIF('1.Pozitia Financiara'!$A:$A,$A10,'1.Pozitia Financiara'!C:C)</f>
        <v>112991403</v>
      </c>
      <c r="F10" s="42">
        <f>SUMIF('1.Pozitia Financiara'!$A:$A,$A10,'1.Pozitia Financiara'!D:D)</f>
        <v>74256382</v>
      </c>
      <c r="G10" s="78">
        <f>SUMPRODUCT(D10:F10,$D$8:$F$8)</f>
        <v>74256382</v>
      </c>
      <c r="K10" s="46" t="s">
        <v>27</v>
      </c>
      <c r="O10" s="37">
        <v>8</v>
      </c>
      <c r="P10" s="37" t="s">
        <v>135</v>
      </c>
      <c r="Q10" s="37" t="s">
        <v>18</v>
      </c>
      <c r="R10" s="37">
        <f t="shared" si="1"/>
        <v>8</v>
      </c>
      <c r="S10" s="37" t="e">
        <f>SMALL($R$3:$R$10,ROWS(R$3:$R10))</f>
        <v>#NUM!</v>
      </c>
      <c r="T10" s="37" t="e">
        <f t="shared" si="2"/>
        <v>#NUM!</v>
      </c>
      <c r="Z10" s="37">
        <f t="shared" si="4"/>
        <v>8</v>
      </c>
      <c r="AA10" s="47" t="s">
        <v>126</v>
      </c>
      <c r="AB10" s="47" t="s">
        <v>198</v>
      </c>
      <c r="AC10" s="37">
        <f>IF(AA10=Grafice!$F$20,hiddenPage!Z10,"")</f>
        <v>8</v>
      </c>
      <c r="AD10" s="37" t="e">
        <f>SMALL($AC$3:$AC$28,ROWS($AC$3:AC10))</f>
        <v>#NUM!</v>
      </c>
      <c r="AE10" s="37" t="str">
        <f t="shared" si="3"/>
        <v/>
      </c>
      <c r="AF10" s="42" t="e">
        <f>SUMIF('1.Pozitia Financiara'!A:A,hiddenPage!AE10,'1.Pozitia Financiara'!#REF!)+SUMIF('1.Pozitia Financiara'!A:A,hiddenPage!AE10,'1.Pozitia Financiara'!#REF!)+SUMIF('1.Pozitia Financiara'!A:A,hiddenPage!AE10,'1.Pozitia Financiara'!#REF!)+SUMIF('1.Pozitia Financiara'!A:A,hiddenPage!AE10,'1.Pozitia Financiara'!#REF!)+SUMIF('1.Pozitia Financiara'!A:A,hiddenPage!AE10,'1.Pozitia Financiara'!B:B)+SUMIF('1.Pozitia Financiara'!A:A,hiddenPage!AE10,'1.Pozitia Financiara'!C:C)+SUMIF('1.Pozitia Financiara'!A:A,hiddenPage!AE10,'1.Pozitia Financiara'!D:D)</f>
        <v>#REF!</v>
      </c>
      <c r="AG10" s="51" t="e">
        <f>LARGE($AF$3:$AF$13,ROWS(AE$3:$AE10))</f>
        <v>#REF!</v>
      </c>
      <c r="AH10" s="37" t="e">
        <f t="shared" si="0"/>
        <v>#REF!</v>
      </c>
    </row>
    <row r="11" spans="1:34" x14ac:dyDescent="0.3">
      <c r="A11" s="40" t="str">
        <f>T4</f>
        <v>Total capitaluri</v>
      </c>
      <c r="B11" s="42"/>
      <c r="C11" s="42"/>
      <c r="D11" s="42">
        <f>SUMIF('1.Pozitia Financiara'!$A:$A,$A11,'1.Pozitia Financiara'!B:B)</f>
        <v>138842299</v>
      </c>
      <c r="E11" s="42">
        <f>SUMIF('1.Pozitia Financiara'!$A:$A,$A11,'1.Pozitia Financiara'!C:C)</f>
        <v>135562335</v>
      </c>
      <c r="F11" s="42">
        <f>SUMIF('1.Pozitia Financiara'!$A:$A,$A11,'1.Pozitia Financiara'!D:D)</f>
        <v>152237758</v>
      </c>
      <c r="G11" s="78">
        <f>SUMPRODUCT(D11:F11,$D$8:$F$8)</f>
        <v>152237758</v>
      </c>
      <c r="K11" s="46" t="s">
        <v>160</v>
      </c>
      <c r="Z11" s="37">
        <f t="shared" si="4"/>
        <v>9</v>
      </c>
      <c r="AA11" s="47" t="s">
        <v>126</v>
      </c>
      <c r="AB11" s="47" t="s">
        <v>199</v>
      </c>
      <c r="AC11" s="37">
        <f>IF(AA11=Grafice!$F$20,hiddenPage!Z11,"")</f>
        <v>9</v>
      </c>
      <c r="AD11" s="37" t="e">
        <f>SMALL($AC$3:$AC$28,ROWS($AC$3:AC11))</f>
        <v>#NUM!</v>
      </c>
      <c r="AE11" s="37" t="str">
        <f t="shared" si="3"/>
        <v/>
      </c>
      <c r="AF11" s="42" t="e">
        <f>SUMIF('1.Pozitia Financiara'!A:A,hiddenPage!AE11,'1.Pozitia Financiara'!#REF!)+SUMIF('1.Pozitia Financiara'!A:A,hiddenPage!AE11,'1.Pozitia Financiara'!#REF!)+SUMIF('1.Pozitia Financiara'!A:A,hiddenPage!AE11,'1.Pozitia Financiara'!#REF!)+SUMIF('1.Pozitia Financiara'!A:A,hiddenPage!AE11,'1.Pozitia Financiara'!#REF!)+SUMIF('1.Pozitia Financiara'!A:A,hiddenPage!AE11,'1.Pozitia Financiara'!B:B)+SUMIF('1.Pozitia Financiara'!A:A,hiddenPage!AE11,'1.Pozitia Financiara'!C:C)+SUMIF('1.Pozitia Financiara'!A:A,hiddenPage!AE11,'1.Pozitia Financiara'!D:D)</f>
        <v>#REF!</v>
      </c>
      <c r="AG11" s="51" t="e">
        <f>LARGE($AF$3:$AF$13,ROWS(AE$3:$AE11))</f>
        <v>#REF!</v>
      </c>
      <c r="AH11" s="37" t="e">
        <f t="shared" si="0"/>
        <v>#REF!</v>
      </c>
    </row>
    <row r="12" spans="1:34" x14ac:dyDescent="0.3">
      <c r="A12" s="37" t="str">
        <f>"Total "&amp;Grafice!O2</f>
        <v>Total Capitaluri&amp;Datorii</v>
      </c>
      <c r="D12" s="48">
        <f t="shared" ref="D12:F12" si="6">D10+D11</f>
        <v>241468407</v>
      </c>
      <c r="E12" s="48">
        <f t="shared" si="6"/>
        <v>248553738</v>
      </c>
      <c r="F12" s="48">
        <f t="shared" si="6"/>
        <v>226494140</v>
      </c>
      <c r="K12" s="46" t="s">
        <v>164</v>
      </c>
      <c r="Z12" s="37">
        <f t="shared" si="4"/>
        <v>10</v>
      </c>
      <c r="AA12" s="47" t="s">
        <v>126</v>
      </c>
      <c r="AB12" s="47" t="s">
        <v>200</v>
      </c>
      <c r="AC12" s="37">
        <f>IF(AA12=Grafice!$F$20,hiddenPage!Z12,"")</f>
        <v>10</v>
      </c>
      <c r="AD12" s="37" t="e">
        <f>SMALL($AC$3:$AC$28,ROWS($AC$3:AC12))</f>
        <v>#NUM!</v>
      </c>
      <c r="AE12" s="37" t="str">
        <f t="shared" si="3"/>
        <v/>
      </c>
      <c r="AF12" s="42" t="e">
        <f>SUMIF('1.Pozitia Financiara'!A:A,hiddenPage!AE12,'1.Pozitia Financiara'!#REF!)+SUMIF('1.Pozitia Financiara'!A:A,hiddenPage!AE12,'1.Pozitia Financiara'!#REF!)+SUMIF('1.Pozitia Financiara'!A:A,hiddenPage!AE12,'1.Pozitia Financiara'!#REF!)+SUMIF('1.Pozitia Financiara'!A:A,hiddenPage!AE12,'1.Pozitia Financiara'!#REF!)+SUMIF('1.Pozitia Financiara'!A:A,hiddenPage!AE12,'1.Pozitia Financiara'!B:B)+SUMIF('1.Pozitia Financiara'!A:A,hiddenPage!AE12,'1.Pozitia Financiara'!C:C)+SUMIF('1.Pozitia Financiara'!A:A,hiddenPage!AE12,'1.Pozitia Financiara'!D:D)</f>
        <v>#REF!</v>
      </c>
      <c r="AG12" s="51" t="e">
        <f>LARGE($AF$3:$AF$13,ROWS(AE$3:$AE12))</f>
        <v>#REF!</v>
      </c>
      <c r="AH12" s="37" t="e">
        <f t="shared" si="0"/>
        <v>#REF!</v>
      </c>
    </row>
    <row r="13" spans="1:34" x14ac:dyDescent="0.3">
      <c r="A13" s="37" t="str">
        <f>"Structura indicatorului "&amp;Grafice!F20&amp;" la "&amp;" 30 Iunie "&amp;G9</f>
        <v>Structura indicatorului Active curente la  30 Iunie 2023</v>
      </c>
      <c r="Z13" s="37">
        <f t="shared" si="4"/>
        <v>11</v>
      </c>
      <c r="AA13" s="47" t="s">
        <v>126</v>
      </c>
      <c r="AB13" s="47" t="s">
        <v>157</v>
      </c>
      <c r="AC13" s="37">
        <f>IF(AA13=Grafice!$F$20,hiddenPage!Z13,"")</f>
        <v>11</v>
      </c>
      <c r="AD13" s="37" t="e">
        <f>SMALL($AC$3:$AC$28,ROWS($AC$3:AC13))</f>
        <v>#NUM!</v>
      </c>
      <c r="AE13" s="37" t="str">
        <f t="shared" si="3"/>
        <v/>
      </c>
      <c r="AF13" s="42" t="e">
        <f>SUMIF('1.Pozitia Financiara'!A:A,hiddenPage!AE13,'1.Pozitia Financiara'!#REF!)+SUMIF('1.Pozitia Financiara'!A:A,hiddenPage!AE13,'1.Pozitia Financiara'!#REF!)+SUMIF('1.Pozitia Financiara'!A:A,hiddenPage!AE13,'1.Pozitia Financiara'!#REF!)+SUMIF('1.Pozitia Financiara'!A:A,hiddenPage!AE13,'1.Pozitia Financiara'!#REF!)+SUMIF('1.Pozitia Financiara'!A:A,hiddenPage!AE13,'1.Pozitia Financiara'!B:B)+SUMIF('1.Pozitia Financiara'!A:A,hiddenPage!AE13,'1.Pozitia Financiara'!C:C)+SUMIF('1.Pozitia Financiara'!A:A,hiddenPage!AE13,'1.Pozitia Financiara'!D:D)</f>
        <v>#REF!</v>
      </c>
      <c r="AG13" s="51" t="e">
        <f>LARGE($AF$3:$AF$13,ROWS(AE$3:$AE13))</f>
        <v>#REF!</v>
      </c>
      <c r="AH13" s="37" t="e">
        <f t="shared" si="0"/>
        <v>#REF!</v>
      </c>
    </row>
    <row r="14" spans="1:34" x14ac:dyDescent="0.3">
      <c r="B14" s="37">
        <f>IF(Grafice!$F$21=B15,1,0)</f>
        <v>0</v>
      </c>
      <c r="C14" s="37">
        <f>IF(Grafice!$F$21=C15,1,0)</f>
        <v>0</v>
      </c>
      <c r="D14" s="37">
        <f>IF(Grafice!$F$21=D15,1,0)</f>
        <v>0</v>
      </c>
      <c r="E14" s="37">
        <f>IF(Grafice!$F$21=E15,1,0)</f>
        <v>0</v>
      </c>
      <c r="F14" s="37">
        <f>IF(Grafice!$F$21=F15,1,0)</f>
        <v>1</v>
      </c>
      <c r="Z14" s="37">
        <f t="shared" si="4"/>
        <v>12</v>
      </c>
      <c r="AA14" s="47" t="s">
        <v>127</v>
      </c>
      <c r="AB14" s="47" t="s">
        <v>12</v>
      </c>
      <c r="AC14" s="37" t="str">
        <f>IF(AA14=Grafice!$F$20,hiddenPage!Z14,"")</f>
        <v/>
      </c>
      <c r="AD14" s="37" t="e">
        <f>SMALL($AC$3:$AC$28,ROWS($AC$3:AC14))</f>
        <v>#NUM!</v>
      </c>
      <c r="AF14" s="42"/>
      <c r="AG14" s="51"/>
    </row>
    <row r="15" spans="1:34" x14ac:dyDescent="0.3">
      <c r="A15" s="39"/>
      <c r="B15" s="52"/>
      <c r="C15" s="52"/>
      <c r="D15" s="52">
        <f t="shared" ref="D15:F15" si="7">D3</f>
        <v>2021</v>
      </c>
      <c r="E15" s="52">
        <f t="shared" si="7"/>
        <v>2022</v>
      </c>
      <c r="F15" s="52">
        <f t="shared" si="7"/>
        <v>2023</v>
      </c>
      <c r="G15" s="47" t="s">
        <v>92</v>
      </c>
      <c r="H15" s="47" t="s">
        <v>93</v>
      </c>
      <c r="I15" s="47"/>
      <c r="J15" s="47"/>
      <c r="K15" s="46" t="s">
        <v>94</v>
      </c>
      <c r="L15" s="47"/>
      <c r="M15" s="130" t="s">
        <v>95</v>
      </c>
      <c r="N15" s="130"/>
      <c r="O15" s="130"/>
      <c r="P15" s="130" t="s">
        <v>96</v>
      </c>
      <c r="Q15" s="130" t="s">
        <v>97</v>
      </c>
      <c r="Z15" s="37">
        <f t="shared" si="4"/>
        <v>13</v>
      </c>
      <c r="AA15" s="47" t="s">
        <v>127</v>
      </c>
      <c r="AB15" s="47" t="s">
        <v>201</v>
      </c>
      <c r="AC15" s="37" t="str">
        <f>IF(AA15=Grafice!$F$20,hiddenPage!Z15,"")</f>
        <v/>
      </c>
      <c r="AD15" s="37" t="e">
        <f>SMALL($AC$3:$AC$28,ROWS($AC$3:AC15))</f>
        <v>#NUM!</v>
      </c>
      <c r="AE15" s="37" t="str">
        <f>IF(ISERROR(VLOOKUP(AD15,$Z$3:$AB$30,3,0)),"",VLOOKUP(AD15,$Z$3:$AB$30,3,0))</f>
        <v/>
      </c>
    </row>
    <row r="16" spans="1:34" x14ac:dyDescent="0.3">
      <c r="A16" s="39" t="str">
        <f>AE3</f>
        <v xml:space="preserve">Stocuri </v>
      </c>
      <c r="B16" s="53"/>
      <c r="C16" s="53"/>
      <c r="D16" s="53">
        <f>SUMIF('1.Pozitia Financiara'!$A:$A,$A16,'1.Pozitia Financiara'!B:B)</f>
        <v>25369848</v>
      </c>
      <c r="E16" s="53">
        <f>SUMIF('1.Pozitia Financiara'!$A:$A,$A16,'1.Pozitia Financiara'!C:C)</f>
        <v>30931534</v>
      </c>
      <c r="F16" s="53">
        <f>SUMIF('1.Pozitia Financiara'!$A:$A,$A16,'1.Pozitia Financiara'!D:D)</f>
        <v>28417526</v>
      </c>
      <c r="G16" s="54">
        <f t="shared" ref="G16:G22" si="8">SUMPRODUCT($D$14:$F$14,D16:F16)</f>
        <v>28417526</v>
      </c>
      <c r="H16" s="55">
        <f>RANK(G16,$G$16:$G$22,0)+COUNTIF($G16:G$22,G16)-1</f>
        <v>2</v>
      </c>
      <c r="I16" s="47"/>
      <c r="J16" s="47"/>
      <c r="K16" s="46">
        <v>1</v>
      </c>
      <c r="L16" s="47"/>
      <c r="M16" s="130" t="str">
        <f t="shared" ref="M16:M22" si="9">INDEX($A$16:$A$22,MATCH(K16,$H$16:$H$22,0))</f>
        <v>Creante comerciale si alte creante</v>
      </c>
      <c r="N16" s="130"/>
      <c r="O16" s="130"/>
      <c r="P16" s="131">
        <f t="shared" ref="P16:P22" si="10">SUMIF($A$16:$A$22,M16,$G$16:$G$22)</f>
        <v>64288031</v>
      </c>
      <c r="Q16" s="132">
        <f>P16/$P$23</f>
        <v>0.592426524259273</v>
      </c>
      <c r="Z16" s="37">
        <f t="shared" si="4"/>
        <v>14</v>
      </c>
      <c r="AA16" s="47" t="s">
        <v>127</v>
      </c>
      <c r="AB16" s="47" t="s">
        <v>15</v>
      </c>
      <c r="AC16" s="37" t="str">
        <f>IF(AA16=Grafice!$F$20,hiddenPage!Z16,"")</f>
        <v/>
      </c>
      <c r="AD16" s="37" t="e">
        <f>SMALL($AC$3:$AC$28,ROWS($AC$3:AC16))</f>
        <v>#NUM!</v>
      </c>
    </row>
    <row r="17" spans="1:30" x14ac:dyDescent="0.3">
      <c r="A17" s="39" t="str">
        <f t="shared" ref="A17:A22" si="11">AE4</f>
        <v>Creante comerciale si alte creante</v>
      </c>
      <c r="B17" s="53"/>
      <c r="C17" s="53"/>
      <c r="D17" s="53">
        <f>SUMIF('1.Pozitia Financiara'!$A:$A,$A17,'1.Pozitia Financiara'!B:B)</f>
        <v>58687068</v>
      </c>
      <c r="E17" s="53">
        <f>SUMIF('1.Pozitia Financiara'!$A:$A,$A17,'1.Pozitia Financiara'!C:C)</f>
        <v>68732476</v>
      </c>
      <c r="F17" s="53">
        <f>SUMIF('1.Pozitia Financiara'!$A:$A,$A17,'1.Pozitia Financiara'!D:D)</f>
        <v>64288031</v>
      </c>
      <c r="G17" s="54">
        <f t="shared" si="8"/>
        <v>64288031</v>
      </c>
      <c r="H17" s="55">
        <f>RANK(G17,$G$16:$G$22,0)+COUNTIF($G17:G$22,G17)-1</f>
        <v>1</v>
      </c>
      <c r="I17" s="47"/>
      <c r="J17" s="47"/>
      <c r="K17" s="46">
        <v>2</v>
      </c>
      <c r="L17" s="47"/>
      <c r="M17" s="130" t="str">
        <f t="shared" si="9"/>
        <v xml:space="preserve">Stocuri </v>
      </c>
      <c r="N17" s="130"/>
      <c r="O17" s="130"/>
      <c r="P17" s="131">
        <f t="shared" si="10"/>
        <v>28417526</v>
      </c>
      <c r="Q17" s="132">
        <f t="shared" ref="Q17:Q22" si="12">P17/$P$23</f>
        <v>0.2618729473333461</v>
      </c>
      <c r="Z17" s="37">
        <f t="shared" si="4"/>
        <v>15</v>
      </c>
      <c r="AA17" s="47" t="s">
        <v>127</v>
      </c>
      <c r="AB17" s="47" t="s">
        <v>16</v>
      </c>
      <c r="AC17" s="37" t="str">
        <f>IF(AA17=Grafice!$F$20,hiddenPage!Z17,"")</f>
        <v/>
      </c>
      <c r="AD17" s="37" t="e">
        <f>SMALL($AC$3:$AC$28,ROWS($AC$3:AC17))</f>
        <v>#NUM!</v>
      </c>
    </row>
    <row r="18" spans="1:30" x14ac:dyDescent="0.3">
      <c r="A18" s="39" t="str">
        <f t="shared" si="11"/>
        <v xml:space="preserve">Impozite de recuperat </v>
      </c>
      <c r="B18" s="53"/>
      <c r="C18" s="53"/>
      <c r="D18" s="53">
        <f>SUMIF('1.Pozitia Financiara'!$A:$A,$A18,'1.Pozitia Financiara'!B:B)</f>
        <v>0</v>
      </c>
      <c r="E18" s="53">
        <f>SUMIF('1.Pozitia Financiara'!$A:$A,$A18,'1.Pozitia Financiara'!C:C)</f>
        <v>0</v>
      </c>
      <c r="F18" s="53">
        <f>SUMIF('1.Pozitia Financiara'!$A:$A,$A18,'1.Pozitia Financiara'!D:D)</f>
        <v>0</v>
      </c>
      <c r="G18" s="54">
        <f t="shared" si="8"/>
        <v>0</v>
      </c>
      <c r="H18" s="55">
        <f>RANK(G18,$G$16:$G$22,0)+COUNTIF($G18:G$22,G18)-1</f>
        <v>7</v>
      </c>
      <c r="I18" s="47"/>
      <c r="J18" s="47"/>
      <c r="K18" s="46">
        <v>3</v>
      </c>
      <c r="L18" s="47"/>
      <c r="M18" s="130" t="str">
        <f t="shared" si="9"/>
        <v xml:space="preserve">Numerar si echivalente de numerar </v>
      </c>
      <c r="N18" s="130"/>
      <c r="O18" s="130"/>
      <c r="P18" s="131">
        <f t="shared" si="10"/>
        <v>10305284</v>
      </c>
      <c r="Q18" s="132">
        <f t="shared" si="12"/>
        <v>9.4965166713920635E-2</v>
      </c>
      <c r="Z18" s="37">
        <f t="shared" si="4"/>
        <v>16</v>
      </c>
      <c r="AA18" s="47" t="s">
        <v>137</v>
      </c>
      <c r="AB18" s="47" t="s">
        <v>203</v>
      </c>
      <c r="AC18" s="37" t="str">
        <f>IF(AA18=Grafice!$F$20,hiddenPage!Z18,"")</f>
        <v/>
      </c>
      <c r="AD18" s="37" t="e">
        <f>SMALL($AC$3:$AC$28,ROWS($AC$3:AC18))</f>
        <v>#NUM!</v>
      </c>
    </row>
    <row r="19" spans="1:30" x14ac:dyDescent="0.3">
      <c r="A19" s="39" t="str">
        <f t="shared" si="11"/>
        <v>Alte active financiare curente</v>
      </c>
      <c r="B19" s="53"/>
      <c r="C19" s="53"/>
      <c r="D19" s="53">
        <f>SUMIF('1.Pozitia Financiara'!$A:$A,$A19,'1.Pozitia Financiara'!B:B)</f>
        <v>959053</v>
      </c>
      <c r="E19" s="53">
        <f>SUMIF('1.Pozitia Financiara'!$A:$A,$A19,'1.Pozitia Financiara'!C:C)</f>
        <v>1298910</v>
      </c>
      <c r="F19" s="53">
        <f>SUMIF('1.Pozitia Financiara'!$A:$A,$A19,'1.Pozitia Financiara'!D:D)</f>
        <v>3278665</v>
      </c>
      <c r="G19" s="54">
        <f t="shared" si="8"/>
        <v>3278665</v>
      </c>
      <c r="H19" s="55">
        <f>RANK(G19,$G$16:$G$22,0)+COUNTIF($G19:G$22,G19)-1</f>
        <v>4</v>
      </c>
      <c r="I19" s="47"/>
      <c r="J19" s="47"/>
      <c r="K19" s="46">
        <v>4</v>
      </c>
      <c r="L19" s="47"/>
      <c r="M19" s="130" t="str">
        <f t="shared" si="9"/>
        <v>Alte active financiare curente</v>
      </c>
      <c r="N19" s="130"/>
      <c r="O19" s="130"/>
      <c r="P19" s="131">
        <f t="shared" si="10"/>
        <v>3278665</v>
      </c>
      <c r="Q19" s="132">
        <f t="shared" si="12"/>
        <v>3.0213526218597818E-2</v>
      </c>
      <c r="Z19" s="37">
        <f t="shared" si="4"/>
        <v>17</v>
      </c>
      <c r="AA19" s="47" t="s">
        <v>137</v>
      </c>
      <c r="AB19" s="47" t="s">
        <v>205</v>
      </c>
      <c r="AC19" s="37" t="str">
        <f>IF(AA19=Grafice!$F$20,hiddenPage!Z19,"")</f>
        <v/>
      </c>
      <c r="AD19" s="37" t="e">
        <f>SMALL($AC$3:$AC$28,ROWS($AC$3:AC19))</f>
        <v>#NUM!</v>
      </c>
    </row>
    <row r="20" spans="1:30" x14ac:dyDescent="0.3">
      <c r="A20" s="39" t="str">
        <f t="shared" si="11"/>
        <v>Alte active nefinanciare curente</v>
      </c>
      <c r="B20" s="53"/>
      <c r="C20" s="53"/>
      <c r="D20" s="53">
        <f>SUMIF('1.Pozitia Financiara'!$A:$A,$A20,'1.Pozitia Financiara'!B:B)</f>
        <v>2280411</v>
      </c>
      <c r="E20" s="53">
        <f>SUMIF('1.Pozitia Financiara'!$A:$A,$A20,'1.Pozitia Financiara'!C:C)</f>
        <v>2392162</v>
      </c>
      <c r="F20" s="53">
        <f>SUMIF('1.Pozitia Financiara'!$A:$A,$A20,'1.Pozitia Financiara'!D:D)</f>
        <v>2226957</v>
      </c>
      <c r="G20" s="54">
        <f t="shared" si="8"/>
        <v>2226957</v>
      </c>
      <c r="H20" s="55">
        <f>RANK(G20,$G$16:$G$22,0)+COUNTIF($G20:G$22,G20)-1</f>
        <v>5</v>
      </c>
      <c r="I20" s="47"/>
      <c r="J20" s="47"/>
      <c r="K20" s="46">
        <v>5</v>
      </c>
      <c r="L20" s="47"/>
      <c r="M20" s="130" t="str">
        <f t="shared" si="9"/>
        <v>Alte active nefinanciare curente</v>
      </c>
      <c r="N20" s="130"/>
      <c r="O20" s="130"/>
      <c r="P20" s="131">
        <f t="shared" si="10"/>
        <v>2226957</v>
      </c>
      <c r="Q20" s="132">
        <f t="shared" si="12"/>
        <v>2.0521835474862464E-2</v>
      </c>
      <c r="Z20" s="37">
        <f t="shared" si="4"/>
        <v>18</v>
      </c>
      <c r="AA20" s="47" t="s">
        <v>137</v>
      </c>
      <c r="AB20" s="47" t="s">
        <v>160</v>
      </c>
      <c r="AC20" s="37" t="str">
        <f>IF(AA20=Grafice!$F$20,hiddenPage!Z20,"")</f>
        <v/>
      </c>
      <c r="AD20" s="37" t="e">
        <f>SMALL($AC$3:$AC$28,ROWS($AC$3:AC20))</f>
        <v>#NUM!</v>
      </c>
    </row>
    <row r="21" spans="1:30" x14ac:dyDescent="0.3">
      <c r="A21" s="39" t="str">
        <f t="shared" si="11"/>
        <v xml:space="preserve">Numerar si echivalente de numerar </v>
      </c>
      <c r="B21" s="53"/>
      <c r="C21" s="53"/>
      <c r="D21" s="53">
        <f>SUMIF('1.Pozitia Financiara'!$A:$A,$A21,'1.Pozitia Financiara'!B:B)</f>
        <v>4954192</v>
      </c>
      <c r="E21" s="53">
        <f>SUMIF('1.Pozitia Financiara'!$A:$A,$A21,'1.Pozitia Financiara'!C:C)</f>
        <v>6496552</v>
      </c>
      <c r="F21" s="53">
        <f>SUMIF('1.Pozitia Financiara'!$A:$A,$A21,'1.Pozitia Financiara'!D:D)</f>
        <v>10305284</v>
      </c>
      <c r="G21" s="54">
        <f t="shared" si="8"/>
        <v>10305284</v>
      </c>
      <c r="H21" s="55">
        <f>RANK(G21,$G$16:$G$22,0)+COUNTIF($G21:G$22,G21)-1</f>
        <v>3</v>
      </c>
      <c r="I21" s="47"/>
      <c r="J21" s="47"/>
      <c r="K21" s="46">
        <v>6</v>
      </c>
      <c r="L21" s="47"/>
      <c r="M21" s="130" t="str">
        <f t="shared" si="9"/>
        <v>Active imobilizante detinute in vederea vanzarii</v>
      </c>
      <c r="N21" s="130"/>
      <c r="O21" s="130"/>
      <c r="P21" s="131">
        <f t="shared" si="10"/>
        <v>0</v>
      </c>
      <c r="Q21" s="132">
        <f t="shared" si="12"/>
        <v>0</v>
      </c>
      <c r="Z21" s="37">
        <f t="shared" si="4"/>
        <v>19</v>
      </c>
      <c r="AA21" s="47" t="s">
        <v>137</v>
      </c>
      <c r="AB21" s="47" t="s">
        <v>206</v>
      </c>
      <c r="AC21" s="37" t="str">
        <f>IF(AA21=Grafice!$F$20,hiddenPage!Z21,"")</f>
        <v/>
      </c>
      <c r="AD21" s="37" t="e">
        <f>SMALL($AC$3:$AC$28,ROWS($AC$3:AC21))</f>
        <v>#NUM!</v>
      </c>
    </row>
    <row r="22" spans="1:30" x14ac:dyDescent="0.3">
      <c r="A22" s="39" t="str">
        <f t="shared" si="11"/>
        <v>Active imobilizante detinute in vederea vanzarii</v>
      </c>
      <c r="B22" s="53"/>
      <c r="C22" s="53"/>
      <c r="D22" s="53">
        <f>SUMIF('1.Pozitia Financiara'!$A:$A,$A22,'1.Pozitia Financiara'!B:B)</f>
        <v>70845</v>
      </c>
      <c r="E22" s="53">
        <f>SUMIF('1.Pozitia Financiara'!$A:$A,$A22,'1.Pozitia Financiara'!C:C)</f>
        <v>3760155</v>
      </c>
      <c r="F22" s="53">
        <f>SUMIF('1.Pozitia Financiara'!$A:$A,$A22,'1.Pozitia Financiara'!D:D)</f>
        <v>0</v>
      </c>
      <c r="G22" s="54">
        <f t="shared" si="8"/>
        <v>0</v>
      </c>
      <c r="H22" s="55">
        <f>RANK(G22,$G$16:$G$22,0)+COUNTIF($G22:G$22,G22)-1</f>
        <v>6</v>
      </c>
      <c r="I22" s="47"/>
      <c r="J22" s="47"/>
      <c r="K22" s="46">
        <v>7</v>
      </c>
      <c r="L22" s="47"/>
      <c r="M22" s="130" t="str">
        <f t="shared" si="9"/>
        <v xml:space="preserve">Impozite de recuperat </v>
      </c>
      <c r="N22" s="130"/>
      <c r="O22" s="130"/>
      <c r="P22" s="131">
        <f t="shared" si="10"/>
        <v>0</v>
      </c>
      <c r="Q22" s="132">
        <f t="shared" si="12"/>
        <v>0</v>
      </c>
      <c r="Z22" s="37">
        <f t="shared" si="4"/>
        <v>20</v>
      </c>
      <c r="AA22" s="47" t="s">
        <v>138</v>
      </c>
      <c r="AB22" s="37" t="s">
        <v>163</v>
      </c>
      <c r="AC22" s="37" t="str">
        <f>IF(AA22=Grafice!$F$20,hiddenPage!Z22,"")</f>
        <v/>
      </c>
      <c r="AD22" s="37" t="e">
        <f>SMALL($AC$3:$AC$28,ROWS($AC$3:AC22))</f>
        <v>#NUM!</v>
      </c>
    </row>
    <row r="23" spans="1:30" x14ac:dyDescent="0.3">
      <c r="M23" s="133" t="str">
        <f>"Total  : "&amp;TEXT(P23,"#,##0;[Red]-#,##0")&amp;" lei"</f>
        <v>Total  : 108,516,463 lei</v>
      </c>
      <c r="N23" s="38"/>
      <c r="O23" s="38"/>
      <c r="P23" s="134">
        <f>SUM(P16:P22)</f>
        <v>108516463</v>
      </c>
      <c r="Q23" s="38"/>
      <c r="Z23" s="37">
        <f t="shared" si="4"/>
        <v>21</v>
      </c>
      <c r="AA23" s="47" t="s">
        <v>138</v>
      </c>
      <c r="AB23" s="37" t="s">
        <v>164</v>
      </c>
      <c r="AC23" s="37" t="str">
        <f>IF(AA23=Grafice!$F$20,hiddenPage!Z23,"")</f>
        <v/>
      </c>
      <c r="AD23" s="37" t="e">
        <f>SMALL($AC$3:$AC$28,ROWS($AC$3:AC23))</f>
        <v>#NUM!</v>
      </c>
    </row>
    <row r="24" spans="1:30" x14ac:dyDescent="0.3">
      <c r="Z24" s="37">
        <f t="shared" si="4"/>
        <v>22</v>
      </c>
      <c r="AA24" s="47" t="s">
        <v>138</v>
      </c>
      <c r="AB24" s="37" t="s">
        <v>166</v>
      </c>
      <c r="AC24" s="37" t="str">
        <f>IF(AA24=Grafice!$F$20,hiddenPage!Z24,"")</f>
        <v/>
      </c>
      <c r="AD24" s="37" t="e">
        <f>SMALL($AC$3:$AC$28,ROWS($AC$3:AC24))</f>
        <v>#NUM!</v>
      </c>
    </row>
    <row r="25" spans="1:30" x14ac:dyDescent="0.3">
      <c r="A25" s="37" t="str">
        <f>A10</f>
        <v>Total datorii</v>
      </c>
      <c r="B25" s="42"/>
      <c r="C25" s="42"/>
      <c r="D25" s="77">
        <f>D10/D$12</f>
        <v>0.42500842770706648</v>
      </c>
      <c r="E25" s="77">
        <f t="shared" ref="E25:F25" si="13">E10/E$12</f>
        <v>0.45459546860647093</v>
      </c>
      <c r="F25" s="77">
        <f t="shared" si="13"/>
        <v>0.32785122829226399</v>
      </c>
      <c r="AA25" s="47"/>
      <c r="AC25" s="37" t="str">
        <f>IF(AA25=Grafice!$F$20,hiddenPage!Z25,"")</f>
        <v/>
      </c>
      <c r="AD25" s="37" t="e">
        <f>SMALL($AC$3:$AC$28,ROWS($AC$3:AC25))</f>
        <v>#NUM!</v>
      </c>
    </row>
    <row r="26" spans="1:30" x14ac:dyDescent="0.3">
      <c r="A26" s="37" t="str">
        <f>A11</f>
        <v>Total capitaluri</v>
      </c>
      <c r="B26" s="42"/>
      <c r="C26" s="42"/>
      <c r="D26" s="77">
        <f>D11/D$12</f>
        <v>0.57499157229293352</v>
      </c>
      <c r="E26" s="77">
        <f t="shared" ref="E26:F26" si="14">E11/E$12</f>
        <v>0.54540453139352907</v>
      </c>
      <c r="F26" s="77">
        <f t="shared" si="14"/>
        <v>0.67214877170773601</v>
      </c>
      <c r="AA26" s="47"/>
      <c r="AC26" s="37" t="str">
        <f>IF(AA26=Grafice!$F$20,hiddenPage!Z26,"")</f>
        <v/>
      </c>
      <c r="AD26" s="37" t="e">
        <f>SMALL($AC$3:$AC$28,ROWS($AC$3:AC26))</f>
        <v>#NUM!</v>
      </c>
    </row>
    <row r="27" spans="1:30" x14ac:dyDescent="0.3">
      <c r="B27" s="42"/>
      <c r="C27" s="42"/>
      <c r="D27" s="42"/>
      <c r="E27" s="42"/>
      <c r="AA27" s="47"/>
      <c r="AC27" s="37" t="str">
        <f>IF(AA27=Grafice!$F$20,hiddenPage!Z27,"")</f>
        <v/>
      </c>
      <c r="AD27" s="37" t="e">
        <f>SMALL($AC$3:$AC$28,ROWS($AC$3:AC27))</f>
        <v>#NUM!</v>
      </c>
    </row>
    <row r="28" spans="1:30" x14ac:dyDescent="0.3">
      <c r="B28" s="42"/>
      <c r="C28" s="42"/>
      <c r="D28" s="42"/>
      <c r="E28" s="42"/>
      <c r="AA28" s="47"/>
      <c r="AC28" s="37" t="str">
        <f>IF(AA28=Grafice!$F$20,hiddenPage!Z28,"")</f>
        <v/>
      </c>
    </row>
    <row r="29" spans="1:30" x14ac:dyDescent="0.3">
      <c r="B29" s="42"/>
      <c r="C29" s="42"/>
      <c r="D29" s="42"/>
      <c r="E29" s="42"/>
    </row>
    <row r="31" spans="1:30" x14ac:dyDescent="0.3">
      <c r="B31" s="41"/>
      <c r="C31" s="41"/>
      <c r="D31" s="41"/>
      <c r="E31" s="41"/>
      <c r="F31" s="41"/>
    </row>
    <row r="32" spans="1:30" x14ac:dyDescent="0.3">
      <c r="A32" s="40" t="str">
        <f>INDEX(V:V,MATCH(Grafice!F20,W:W,0))</f>
        <v>Total active curente</v>
      </c>
      <c r="B32" s="42"/>
      <c r="C32" s="42"/>
      <c r="D32" s="42">
        <f>SUMIF('1.Pozitia Financiara'!$A:$A,$A32,'1.Pozitia Financiara'!B:B)</f>
        <v>92321417</v>
      </c>
      <c r="E32" s="42">
        <f>SUMIF('1.Pozitia Financiara'!$A:$A,$A32,'1.Pozitia Financiara'!C:C)</f>
        <v>113611789</v>
      </c>
      <c r="F32" s="42">
        <f>SUMIF('1.Pozitia Financiara'!$A:$A,$A32,'1.Pozitia Financiara'!D:D)</f>
        <v>108516463</v>
      </c>
    </row>
    <row r="33" spans="1:7" x14ac:dyDescent="0.3">
      <c r="B33" s="43"/>
      <c r="C33" s="43"/>
      <c r="E33" s="48"/>
      <c r="G33" s="47"/>
    </row>
    <row r="34" spans="1:7" x14ac:dyDescent="0.3">
      <c r="A34" s="37" t="str">
        <f>"Evolutia indicatorului "&amp;Grafice!F20&amp;" in perioada 2021 - 2023"</f>
        <v>Evolutia indicatorului Active curente in perioada 2021 - 2023</v>
      </c>
      <c r="B34" s="43"/>
      <c r="C34" s="43"/>
      <c r="E34" s="48"/>
      <c r="G34" s="47"/>
    </row>
    <row r="35" spans="1:7" x14ac:dyDescent="0.3">
      <c r="B35" s="43"/>
      <c r="C35" s="43"/>
      <c r="E35" s="48"/>
      <c r="G35" s="47"/>
    </row>
    <row r="36" spans="1:7" x14ac:dyDescent="0.3">
      <c r="B36" s="43"/>
      <c r="C36" s="43"/>
      <c r="E36" s="48"/>
      <c r="G36" s="47"/>
    </row>
    <row r="37" spans="1:7" x14ac:dyDescent="0.3">
      <c r="A37" s="38"/>
      <c r="B37" s="43"/>
      <c r="C37" s="43"/>
      <c r="E37" s="48"/>
    </row>
    <row r="43" spans="1:7" x14ac:dyDescent="0.3">
      <c r="D43" s="37">
        <f t="shared" ref="D43:F43" si="15">D9</f>
        <v>2021</v>
      </c>
      <c r="E43" s="37">
        <f t="shared" si="15"/>
        <v>2022</v>
      </c>
      <c r="F43" s="37">
        <f t="shared" si="15"/>
        <v>2023</v>
      </c>
    </row>
    <row r="44" spans="1:7" x14ac:dyDescent="0.3">
      <c r="A44" s="40" t="str">
        <f>A10</f>
        <v>Total datorii</v>
      </c>
      <c r="D44" s="77">
        <f t="shared" ref="D44:F44" si="16">D10/D$12</f>
        <v>0.42500842770706648</v>
      </c>
      <c r="E44" s="77">
        <f t="shared" si="16"/>
        <v>0.45459546860647093</v>
      </c>
      <c r="F44" s="77">
        <f t="shared" si="16"/>
        <v>0.32785122829226399</v>
      </c>
    </row>
    <row r="45" spans="1:7" x14ac:dyDescent="0.3">
      <c r="A45" s="40" t="str">
        <f>A11</f>
        <v>Total capitaluri</v>
      </c>
      <c r="D45" s="77">
        <f t="shared" ref="D45:F45" si="17">D11/D$12</f>
        <v>0.57499157229293352</v>
      </c>
      <c r="E45" s="77">
        <f t="shared" si="17"/>
        <v>0.54540453139352907</v>
      </c>
      <c r="F45" s="77">
        <f t="shared" si="17"/>
        <v>0.67214877170773601</v>
      </c>
    </row>
    <row r="49" spans="1:7" x14ac:dyDescent="0.3">
      <c r="D49" s="37">
        <f>IF(D50=Grafice!$U$2,1,0)</f>
        <v>0</v>
      </c>
      <c r="E49" s="37">
        <f>IF(E50=Grafice!$U$2,1,0)</f>
        <v>0</v>
      </c>
      <c r="F49" s="37">
        <f>IF(F50=Grafice!$U$2,1,0)</f>
        <v>1</v>
      </c>
    </row>
    <row r="50" spans="1:7" x14ac:dyDescent="0.3">
      <c r="B50" s="41"/>
      <c r="C50" s="41"/>
      <c r="D50" s="41">
        <f>Data_Interim!H3</f>
        <v>2021</v>
      </c>
      <c r="E50" s="41">
        <f>Data_Interim!I3</f>
        <v>2022</v>
      </c>
      <c r="F50" s="41">
        <f>Data_Interim!J3</f>
        <v>2023</v>
      </c>
    </row>
    <row r="51" spans="1:7" x14ac:dyDescent="0.3">
      <c r="A51" s="40" t="s">
        <v>5</v>
      </c>
      <c r="B51" s="54" t="s">
        <v>125</v>
      </c>
      <c r="C51" s="42"/>
      <c r="D51" s="42">
        <f>SUMIF('1.Pozitia Financiara'!$A:$A,$A51,'1.Pozitia Financiara'!B:B)</f>
        <v>149146990</v>
      </c>
      <c r="E51" s="42">
        <f>SUMIF('1.Pozitia Financiara'!$A:$A,$A51,'1.Pozitia Financiara'!C:C)</f>
        <v>134941949</v>
      </c>
      <c r="F51" s="42">
        <f>SUMIF('1.Pozitia Financiara'!$A:$A,$A51,'1.Pozitia Financiara'!D:D)</f>
        <v>117977677</v>
      </c>
      <c r="G51" s="42">
        <f>SUMPRODUCT($D$49:$F$49,D51:F51)</f>
        <v>117977677</v>
      </c>
    </row>
    <row r="52" spans="1:7" x14ac:dyDescent="0.3">
      <c r="A52" s="40" t="s">
        <v>8</v>
      </c>
      <c r="B52" s="54" t="s">
        <v>126</v>
      </c>
      <c r="C52" s="42"/>
      <c r="D52" s="42">
        <f>SUMIF('1.Pozitia Financiara'!$A:$A,$A52,'1.Pozitia Financiara'!B:B)</f>
        <v>92321417</v>
      </c>
      <c r="E52" s="42">
        <f>SUMIF('1.Pozitia Financiara'!$A:$A,$A52,'1.Pozitia Financiara'!C:C)</f>
        <v>113611789</v>
      </c>
      <c r="F52" s="42">
        <f>SUMIF('1.Pozitia Financiara'!$A:$A,$A52,'1.Pozitia Financiara'!D:D)</f>
        <v>108516463</v>
      </c>
      <c r="G52" s="42">
        <f>SUMPRODUCT($D$49:$F$49,D52:F52)</f>
        <v>108516463</v>
      </c>
    </row>
    <row r="53" spans="1:7" x14ac:dyDescent="0.3">
      <c r="A53" s="37" t="s">
        <v>21</v>
      </c>
      <c r="B53" s="47" t="s">
        <v>137</v>
      </c>
      <c r="D53" s="42">
        <f>SUMIF('1.Pozitia Financiara'!$A:$A,$A53,'1.Pozitia Financiara'!B:B)</f>
        <v>22198798</v>
      </c>
      <c r="E53" s="42">
        <f>SUMIF('1.Pozitia Financiara'!$A:$A,$A53,'1.Pozitia Financiara'!C:C)</f>
        <v>18978054</v>
      </c>
      <c r="F53" s="42">
        <f>SUMIF('1.Pozitia Financiara'!$A:$A,$A53,'1.Pozitia Financiara'!D:D)</f>
        <v>23389267</v>
      </c>
      <c r="G53" s="42">
        <f>SUMPRODUCT($D$49:$F$49,D53:F53)</f>
        <v>23389267</v>
      </c>
    </row>
    <row r="54" spans="1:7" x14ac:dyDescent="0.3">
      <c r="A54" s="37" t="s">
        <v>23</v>
      </c>
      <c r="B54" s="47" t="s">
        <v>138</v>
      </c>
      <c r="D54" s="42">
        <f>SUMIF('1.Pozitia Financiara'!$A:$A,$A54,'1.Pozitia Financiara'!B:B)</f>
        <v>80427310</v>
      </c>
      <c r="E54" s="42">
        <f>SUMIF('1.Pozitia Financiara'!$A:$A,$A54,'1.Pozitia Financiara'!C:C)</f>
        <v>94013349</v>
      </c>
      <c r="F54" s="42">
        <f>SUMIF('1.Pozitia Financiara'!$A:$A,$A54,'1.Pozitia Financiara'!D:D)</f>
        <v>50867115</v>
      </c>
      <c r="G54" s="42">
        <f>SUMPRODUCT($D$49:$F$49,D54:F54)</f>
        <v>50867115</v>
      </c>
    </row>
    <row r="55" spans="1:7" x14ac:dyDescent="0.3">
      <c r="A55" s="37" t="s">
        <v>18</v>
      </c>
      <c r="B55" s="47" t="s">
        <v>127</v>
      </c>
      <c r="D55" s="42">
        <f>SUMIF('1.Pozitia Financiara'!$A:$A,$A55,'1.Pozitia Financiara'!B:B)</f>
        <v>138842299</v>
      </c>
      <c r="E55" s="42">
        <f>SUMIF('1.Pozitia Financiara'!$A:$A,$A55,'1.Pozitia Financiara'!C:C)</f>
        <v>135562335</v>
      </c>
      <c r="F55" s="42">
        <f>SUMIF('1.Pozitia Financiara'!$A:$A,$A55,'1.Pozitia Financiara'!D:D)</f>
        <v>152237758</v>
      </c>
      <c r="G55" s="42">
        <f>SUMPRODUCT($D$49:$F$49,D55:F55)</f>
        <v>152237758</v>
      </c>
    </row>
    <row r="56" spans="1:7" x14ac:dyDescent="0.3">
      <c r="G56" s="48">
        <f>G55+G54+G53</f>
        <v>226494140</v>
      </c>
    </row>
    <row r="59" spans="1:7" x14ac:dyDescent="0.3">
      <c r="A59" s="84"/>
      <c r="B59" s="85"/>
      <c r="C59" s="84"/>
    </row>
    <row r="60" spans="1:7" x14ac:dyDescent="0.3">
      <c r="A60" s="84"/>
      <c r="B60" s="85"/>
      <c r="C60" s="84"/>
    </row>
    <row r="61" spans="1:7" x14ac:dyDescent="0.3">
      <c r="A61" s="84"/>
      <c r="B61" s="85"/>
      <c r="C61" s="84"/>
    </row>
    <row r="62" spans="1:7" x14ac:dyDescent="0.3">
      <c r="A62" s="84"/>
      <c r="B62" s="85"/>
      <c r="C62" s="84"/>
    </row>
    <row r="63" spans="1:7" x14ac:dyDescent="0.3">
      <c r="A63" s="84"/>
      <c r="B63" s="85"/>
      <c r="C63" s="8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5BAF-0043-45B3-82D6-5BCD42358896}">
  <dimension ref="A1:V108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1" sqref="P1"/>
    </sheetView>
  </sheetViews>
  <sheetFormatPr defaultColWidth="9.109375" defaultRowHeight="14.4" x14ac:dyDescent="0.3"/>
  <cols>
    <col min="1" max="1" width="53.44140625" style="47" customWidth="1"/>
    <col min="2" max="2" width="13.33203125" style="47" bestFit="1" customWidth="1"/>
    <col min="3" max="3" width="13.44140625" style="47" bestFit="1" customWidth="1"/>
    <col min="4" max="4" width="11.44140625" style="47" bestFit="1" customWidth="1"/>
    <col min="5" max="5" width="3" style="47" bestFit="1" customWidth="1"/>
    <col min="6" max="6" width="8.6640625" style="82" customWidth="1"/>
    <col min="7" max="7" width="1.6640625" style="47" customWidth="1"/>
    <col min="8" max="8" width="3.6640625" style="47" customWidth="1"/>
    <col min="9" max="9" width="13.33203125" style="47" bestFit="1" customWidth="1"/>
    <col min="10" max="10" width="14.33203125" style="47" customWidth="1"/>
    <col min="11" max="11" width="11.33203125" style="47" bestFit="1" customWidth="1"/>
    <col min="12" max="12" width="3" style="47" bestFit="1" customWidth="1"/>
    <col min="13" max="13" width="8.33203125" style="82" bestFit="1" customWidth="1"/>
    <col min="14" max="14" width="1.6640625" style="47" customWidth="1"/>
    <col min="15" max="15" width="3.6640625" style="47" customWidth="1"/>
    <col min="16" max="17" width="13.109375" style="47" bestFit="1" customWidth="1"/>
    <col min="18" max="18" width="11.5546875" style="47" bestFit="1" customWidth="1"/>
    <col min="19" max="19" width="3" style="47" bestFit="1" customWidth="1"/>
    <col min="20" max="20" width="8.33203125" style="82" bestFit="1" customWidth="1"/>
    <col min="21" max="21" width="1.6640625" style="47" customWidth="1"/>
    <col min="22" max="22" width="3.6640625" style="47" customWidth="1"/>
    <col min="23" max="16384" width="9.109375" style="47"/>
  </cols>
  <sheetData>
    <row r="1" spans="1:22" x14ac:dyDescent="0.3">
      <c r="A1" s="224" t="s">
        <v>129</v>
      </c>
      <c r="B1" s="224"/>
      <c r="C1" s="224"/>
      <c r="D1" s="224"/>
      <c r="G1" s="168"/>
      <c r="H1" s="125"/>
      <c r="N1" s="168"/>
      <c r="O1" s="125"/>
      <c r="U1" s="168"/>
      <c r="V1" s="125"/>
    </row>
    <row r="2" spans="1:22" ht="10.5" customHeight="1" x14ac:dyDescent="0.3">
      <c r="A2" s="167"/>
      <c r="B2" s="167"/>
      <c r="C2" s="167"/>
      <c r="D2" s="167"/>
      <c r="G2" s="168"/>
      <c r="H2" s="125"/>
      <c r="N2" s="168"/>
      <c r="O2" s="125"/>
      <c r="U2" s="168"/>
      <c r="V2" s="125"/>
    </row>
    <row r="3" spans="1:22" ht="11.25" customHeight="1" thickBot="1" x14ac:dyDescent="0.35">
      <c r="A3" s="63"/>
      <c r="B3" s="63"/>
      <c r="C3" s="63"/>
      <c r="D3" s="63"/>
      <c r="G3" s="168"/>
      <c r="H3" s="125"/>
      <c r="N3" s="168"/>
      <c r="O3" s="125"/>
      <c r="U3" s="168"/>
      <c r="V3" s="125"/>
    </row>
    <row r="4" spans="1:22" x14ac:dyDescent="0.3">
      <c r="A4" s="225" t="s">
        <v>0</v>
      </c>
      <c r="B4" s="127" t="s">
        <v>130</v>
      </c>
      <c r="C4" s="165" t="s">
        <v>116</v>
      </c>
      <c r="D4" s="222" t="s">
        <v>131</v>
      </c>
      <c r="E4" s="222"/>
      <c r="F4" s="222"/>
      <c r="G4" s="168"/>
      <c r="H4" s="125"/>
      <c r="I4" s="127" t="s">
        <v>130</v>
      </c>
      <c r="J4" s="165" t="s">
        <v>116</v>
      </c>
      <c r="K4" s="222" t="s">
        <v>131</v>
      </c>
      <c r="L4" s="222"/>
      <c r="M4" s="222"/>
      <c r="N4" s="168"/>
      <c r="O4" s="125"/>
      <c r="P4" s="127" t="s">
        <v>130</v>
      </c>
      <c r="Q4" s="165" t="s">
        <v>116</v>
      </c>
      <c r="R4" s="222" t="s">
        <v>131</v>
      </c>
      <c r="S4" s="222"/>
      <c r="T4" s="222"/>
      <c r="U4" s="168"/>
      <c r="V4" s="125"/>
    </row>
    <row r="5" spans="1:22" ht="15" thickBot="1" x14ac:dyDescent="0.35">
      <c r="A5" s="226"/>
      <c r="B5" s="128">
        <v>2021</v>
      </c>
      <c r="C5" s="128">
        <v>2021</v>
      </c>
      <c r="D5" s="223"/>
      <c r="E5" s="223"/>
      <c r="F5" s="223"/>
      <c r="G5" s="168"/>
      <c r="H5" s="125"/>
      <c r="I5" s="128">
        <v>2022</v>
      </c>
      <c r="J5" s="128">
        <v>2022</v>
      </c>
      <c r="K5" s="223"/>
      <c r="L5" s="223"/>
      <c r="M5" s="223"/>
      <c r="N5" s="168"/>
      <c r="O5" s="125"/>
      <c r="P5" s="128">
        <v>2023</v>
      </c>
      <c r="Q5" s="128">
        <v>2023</v>
      </c>
      <c r="R5" s="223"/>
      <c r="S5" s="223"/>
      <c r="T5" s="223"/>
      <c r="U5" s="168"/>
      <c r="V5" s="125"/>
    </row>
    <row r="6" spans="1:22" x14ac:dyDescent="0.3">
      <c r="A6" s="74" t="s">
        <v>1</v>
      </c>
      <c r="B6" s="74">
        <f>SUMIFS(Data_Annual_BS!$D:$D,Data_Annual_BS!$A:$A,B$5-1,Data_Annual_BS!$B:$B,$A6)</f>
        <v>113644666.37</v>
      </c>
      <c r="C6" s="136">
        <f>SUMIF(Data_Interim!$B:$B,$A6,Data_Interim!H:H)</f>
        <v>109884863</v>
      </c>
      <c r="D6" s="137">
        <f>C6-B6</f>
        <v>-3759803.3700000048</v>
      </c>
      <c r="E6" s="138" t="str">
        <f>IF(C6&gt;B6,"▲",IF(C6=B6,"▬","▼"))</f>
        <v>▼</v>
      </c>
      <c r="F6" s="138">
        <f>IF(ISERROR(C6/B6-100%),0,C6/B6-100%)</f>
        <v>-3.3083852415554449E-2</v>
      </c>
      <c r="G6" s="169"/>
      <c r="H6" s="139"/>
      <c r="I6" s="74">
        <f>SUMIFS(Data_Annual_BS!$D:$D,Data_Annual_BS!$A:$A,I$5-1,Data_Annual_BS!$B:$B,$A6)</f>
        <v>106567874</v>
      </c>
      <c r="J6" s="136">
        <f>SUMIF(Data_Interim!$B:$B,$A6,Data_Interim!I:I)</f>
        <v>103204824</v>
      </c>
      <c r="K6" s="137">
        <f>J6-I6</f>
        <v>-3363050</v>
      </c>
      <c r="L6" s="138" t="str">
        <f>IF(J6&gt;I6,"▲",IF(J6=I6,"▬","▼"))</f>
        <v>▼</v>
      </c>
      <c r="M6" s="138">
        <f>IF(ISERROR(J6/I6-100%),0,J6/I6-100%)</f>
        <v>-3.1557822013039361E-2</v>
      </c>
      <c r="N6" s="169"/>
      <c r="O6" s="139"/>
      <c r="P6" s="74">
        <f>SUMIFS(Data_Annual_BS!$D:$D,Data_Annual_BS!$A:$A,P$5-1,Data_Annual_BS!$B:$B,$A6)</f>
        <v>102490667</v>
      </c>
      <c r="Q6" s="136">
        <f>SUMIF(Data_Interim!$B:$B,$A6,Data_Interim!J:J)</f>
        <v>107160000</v>
      </c>
      <c r="R6" s="137">
        <f>Q6-P6</f>
        <v>4669333</v>
      </c>
      <c r="S6" s="138" t="str">
        <f>IF(Q6&gt;P6,"▲",IF(Q6=P6,"▬","▼"))</f>
        <v>▲</v>
      </c>
      <c r="T6" s="138">
        <f>IF(ISERROR(Q6/P6-100%),0,Q6/P6-100%)</f>
        <v>4.5558616571399702E-2</v>
      </c>
      <c r="U6" s="169"/>
      <c r="V6" s="125"/>
    </row>
    <row r="7" spans="1:22" x14ac:dyDescent="0.3">
      <c r="A7" s="74" t="s">
        <v>3</v>
      </c>
      <c r="B7" s="74">
        <f>SUMIFS(Data_Annual_BS!$D:$D,Data_Annual_BS!$A:$A,B$5-1,Data_Annual_BS!$B:$B,$A7)</f>
        <v>11885345.9</v>
      </c>
      <c r="C7" s="136">
        <f>SUMIF(Data_Interim!$B:$B,$A7,Data_Interim!H:H)</f>
        <v>11885346</v>
      </c>
      <c r="D7" s="137">
        <f t="shared" ref="D7:D9" si="0">C7-B7</f>
        <v>9.999999962747097E-2</v>
      </c>
      <c r="E7" s="138" t="str">
        <f t="shared" ref="E7:E9" si="1">IF(C7&gt;B7,"▲",IF(C7=B7,"▬","▼"))</f>
        <v>▲</v>
      </c>
      <c r="F7" s="138">
        <f t="shared" ref="F7:F9" si="2">IF(ISERROR(C7/B7-100%),0,C7/B7-100%)</f>
        <v>8.4137223854696686E-9</v>
      </c>
      <c r="G7" s="169"/>
      <c r="H7" s="139"/>
      <c r="I7" s="74">
        <f>SUMIFS(Data_Annual_BS!$D:$D,Data_Annual_BS!$A:$A,I$5-1,Data_Annual_BS!$B:$B,$A7)</f>
        <v>10894586</v>
      </c>
      <c r="J7" s="136">
        <f>SUMIF(Data_Interim!$B:$B,$A7,Data_Interim!I:I)</f>
        <v>10894586</v>
      </c>
      <c r="K7" s="137">
        <f t="shared" ref="K7:K9" si="3">J7-I7</f>
        <v>0</v>
      </c>
      <c r="L7" s="138" t="str">
        <f t="shared" ref="L7:L9" si="4">IF(J7&gt;I7,"▲",IF(J7=I7,"▬","▼"))</f>
        <v>▬</v>
      </c>
      <c r="M7" s="138">
        <f t="shared" ref="M7:M9" si="5">IF(ISERROR(J7/I7-100%),0,J7/I7-100%)</f>
        <v>0</v>
      </c>
      <c r="N7" s="169"/>
      <c r="O7" s="139"/>
      <c r="P7" s="74">
        <f>SUMIFS(Data_Annual_BS!$D:$D,Data_Annual_BS!$A:$A,P$5-1,Data_Annual_BS!$B:$B,$A7)</f>
        <v>9883738</v>
      </c>
      <c r="Q7" s="136">
        <f>SUMIF(Data_Interim!$B:$B,$A7,Data_Interim!J:J)</f>
        <v>9883738</v>
      </c>
      <c r="R7" s="137">
        <f t="shared" ref="R7:R9" si="6">Q7-P7</f>
        <v>0</v>
      </c>
      <c r="S7" s="138" t="str">
        <f t="shared" ref="S7:S9" si="7">IF(Q7&gt;P7,"▲",IF(Q7=P7,"▬","▼"))</f>
        <v>▬</v>
      </c>
      <c r="T7" s="138">
        <f t="shared" ref="T7:T9" si="8">IF(ISERROR(Q7/P7-100%),0,Q7/P7-100%)</f>
        <v>0</v>
      </c>
      <c r="U7" s="169"/>
      <c r="V7" s="125"/>
    </row>
    <row r="8" spans="1:22" x14ac:dyDescent="0.3">
      <c r="A8" s="74" t="s">
        <v>193</v>
      </c>
      <c r="B8" s="74">
        <f>SUMIFS(Data_Annual_BS!$D:$D,Data_Annual_BS!$A:$A,B$5-1,Data_Annual_BS!$B:$B,$A8)</f>
        <v>302737.3899999999</v>
      </c>
      <c r="C8" s="136">
        <f>SUMIF(Data_Interim!$B:$B,$A8,Data_Interim!H:H)</f>
        <v>291599</v>
      </c>
      <c r="D8" s="137">
        <f t="shared" si="0"/>
        <v>-11138.389999999898</v>
      </c>
      <c r="E8" s="138" t="str">
        <f t="shared" si="1"/>
        <v>▼</v>
      </c>
      <c r="F8" s="138">
        <f t="shared" si="2"/>
        <v>-3.6792250867987986E-2</v>
      </c>
      <c r="G8" s="169"/>
      <c r="H8" s="139"/>
      <c r="I8" s="74">
        <f>SUMIFS(Data_Annual_BS!$D:$D,Data_Annual_BS!$A:$A,I$5-1,Data_Annual_BS!$B:$B,$A8)</f>
        <v>294483</v>
      </c>
      <c r="J8" s="136">
        <f>SUMIF(Data_Interim!$B:$B,$A8,Data_Interim!I:I)</f>
        <v>233979</v>
      </c>
      <c r="K8" s="137">
        <f t="shared" si="3"/>
        <v>-60504</v>
      </c>
      <c r="L8" s="138" t="str">
        <f t="shared" si="4"/>
        <v>▼</v>
      </c>
      <c r="M8" s="138">
        <f t="shared" si="5"/>
        <v>-0.20545837960085978</v>
      </c>
      <c r="N8" s="169"/>
      <c r="O8" s="139"/>
      <c r="P8" s="74">
        <f>SUMIFS(Data_Annual_BS!$D:$D,Data_Annual_BS!$A:$A,P$5-1,Data_Annual_BS!$B:$B,$A8)</f>
        <v>330920</v>
      </c>
      <c r="Q8" s="136">
        <f>SUMIF(Data_Interim!$B:$B,$A8,Data_Interim!J:J)</f>
        <v>473345</v>
      </c>
      <c r="R8" s="137">
        <f t="shared" si="6"/>
        <v>142425</v>
      </c>
      <c r="S8" s="138" t="str">
        <f t="shared" si="7"/>
        <v>▲</v>
      </c>
      <c r="T8" s="138">
        <f t="shared" si="8"/>
        <v>0.43039103106490995</v>
      </c>
      <c r="U8" s="169"/>
      <c r="V8" s="125"/>
    </row>
    <row r="9" spans="1:22" ht="15" thickBot="1" x14ac:dyDescent="0.35">
      <c r="A9" s="74" t="s">
        <v>194</v>
      </c>
      <c r="B9" s="74">
        <f>SUMIFS(Data_Annual_BS!$D:$D,Data_Annual_BS!$A:$A,B$5-1,Data_Annual_BS!$B:$B,$A9)</f>
        <v>27085181.400000002</v>
      </c>
      <c r="C9" s="136">
        <f>SUMIF(Data_Interim!$B:$B,$A9,Data_Interim!H:H)</f>
        <v>27085182</v>
      </c>
      <c r="D9" s="137">
        <f t="shared" si="0"/>
        <v>0.59999999776482582</v>
      </c>
      <c r="E9" s="138" t="str">
        <f t="shared" si="1"/>
        <v>▲</v>
      </c>
      <c r="F9" s="138">
        <f t="shared" si="2"/>
        <v>2.2152334411273955E-8</v>
      </c>
      <c r="G9" s="169"/>
      <c r="H9" s="139"/>
      <c r="I9" s="74">
        <f>SUMIFS(Data_Annual_BS!$D:$D,Data_Annual_BS!$A:$A,I$5-1,Data_Annual_BS!$B:$B,$A9)</f>
        <v>20607559</v>
      </c>
      <c r="J9" s="136">
        <f>SUMIF(Data_Interim!$B:$B,$A9,Data_Interim!I:I)</f>
        <v>20608560</v>
      </c>
      <c r="K9" s="137">
        <f t="shared" si="3"/>
        <v>1001</v>
      </c>
      <c r="L9" s="138" t="str">
        <f t="shared" si="4"/>
        <v>▲</v>
      </c>
      <c r="M9" s="138">
        <f t="shared" si="5"/>
        <v>4.8574409031276744E-5</v>
      </c>
      <c r="N9" s="169"/>
      <c r="O9" s="139"/>
      <c r="P9" s="74">
        <f>SUMIFS(Data_Annual_BS!$D:$D,Data_Annual_BS!$A:$A,P$5-1,Data_Annual_BS!$B:$B,$A9)</f>
        <v>20608559</v>
      </c>
      <c r="Q9" s="136">
        <f>SUMIF(Data_Interim!$B:$B,$A9,Data_Interim!J:J)</f>
        <v>460594</v>
      </c>
      <c r="R9" s="137">
        <f t="shared" si="6"/>
        <v>-20147965</v>
      </c>
      <c r="S9" s="138" t="str">
        <f t="shared" si="7"/>
        <v>▼</v>
      </c>
      <c r="T9" s="138">
        <f t="shared" si="8"/>
        <v>-0.97765035391363364</v>
      </c>
      <c r="U9" s="169"/>
      <c r="V9" s="125"/>
    </row>
    <row r="10" spans="1:22" ht="15" thickBot="1" x14ac:dyDescent="0.35">
      <c r="A10" s="140" t="s">
        <v>5</v>
      </c>
      <c r="B10" s="141">
        <f>SUM(B6:B9)</f>
        <v>152917931.06</v>
      </c>
      <c r="C10" s="142">
        <f>SUM(C6:C9)</f>
        <v>149146990</v>
      </c>
      <c r="D10" s="141">
        <f t="shared" ref="D10:D34" si="9">C10-B10</f>
        <v>-3770941.0600000024</v>
      </c>
      <c r="E10" s="143" t="str">
        <f t="shared" ref="E10:E34" si="10">IF(C10&gt;B10,"▲",IF(C10=B10,"▬","▼"))</f>
        <v>▼</v>
      </c>
      <c r="F10" s="144">
        <f t="shared" ref="F10:F34" si="11">IF(ISERROR(C10/B10-100%),0,C10/B10-100%)</f>
        <v>-2.4659901123828321E-2</v>
      </c>
      <c r="G10" s="169"/>
      <c r="H10" s="139"/>
      <c r="I10" s="141">
        <f>SUM(I6:I9)</f>
        <v>138364502</v>
      </c>
      <c r="J10" s="142">
        <f>SUM(J6:J9)</f>
        <v>134941949</v>
      </c>
      <c r="K10" s="141">
        <f t="shared" ref="K10:K34" si="12">J10-I10</f>
        <v>-3422553</v>
      </c>
      <c r="L10" s="143" t="str">
        <f t="shared" ref="L10:L34" si="13">IF(J10&gt;I10,"▲",IF(J10=I10,"▬","▼"))</f>
        <v>▼</v>
      </c>
      <c r="M10" s="144">
        <f t="shared" ref="M10:M34" si="14">IF(ISERROR(J10/I10-100%),0,J10/I10-100%)</f>
        <v>-2.4735773630724989E-2</v>
      </c>
      <c r="N10" s="169"/>
      <c r="O10" s="139"/>
      <c r="P10" s="141">
        <f>SUM(P6:P9)</f>
        <v>133313884</v>
      </c>
      <c r="Q10" s="142">
        <f>SUM(Q6:Q9)</f>
        <v>117977677</v>
      </c>
      <c r="R10" s="141">
        <f t="shared" ref="R10:R34" si="15">Q10-P10</f>
        <v>-15336207</v>
      </c>
      <c r="S10" s="143" t="str">
        <f t="shared" ref="S10:S34" si="16">IF(Q10&gt;P10,"▲",IF(Q10=P10,"▬","▼"))</f>
        <v>▼</v>
      </c>
      <c r="T10" s="144">
        <f t="shared" ref="T10:T34" si="17">IF(ISERROR(Q10/P10-100%),0,Q10/P10-100%)</f>
        <v>-0.11503833314165535</v>
      </c>
      <c r="U10" s="169"/>
      <c r="V10" s="125"/>
    </row>
    <row r="11" spans="1:22" x14ac:dyDescent="0.3">
      <c r="A11" s="74" t="s">
        <v>195</v>
      </c>
      <c r="B11" s="74">
        <f>SUMIFS(Data_Annual_BS!$D:$D,Data_Annual_BS!$A:$A,B$5-1,Data_Annual_BS!$B:$B,$A11)</f>
        <v>22285770.819999997</v>
      </c>
      <c r="C11" s="136">
        <f>SUMIF(Data_Interim!$B:$B,$A11,Data_Interim!H:H)</f>
        <v>25369848</v>
      </c>
      <c r="D11" s="137">
        <f t="shared" si="9"/>
        <v>3084077.1800000034</v>
      </c>
      <c r="E11" s="138" t="str">
        <f t="shared" si="10"/>
        <v>▲</v>
      </c>
      <c r="F11" s="138">
        <f t="shared" si="11"/>
        <v>0.13838772752846618</v>
      </c>
      <c r="G11" s="169"/>
      <c r="H11" s="139"/>
      <c r="I11" s="74">
        <f>SUMIFS(Data_Annual_BS!$D:$D,Data_Annual_BS!$A:$A,I$5-1,Data_Annual_BS!$B:$B,$A11)</f>
        <v>27647514</v>
      </c>
      <c r="J11" s="136">
        <f>SUMIF(Data_Interim!$B:$B,$A11,Data_Interim!I:I)</f>
        <v>30931534</v>
      </c>
      <c r="K11" s="137">
        <f t="shared" si="12"/>
        <v>3284020</v>
      </c>
      <c r="L11" s="138" t="str">
        <f t="shared" si="13"/>
        <v>▲</v>
      </c>
      <c r="M11" s="138">
        <f t="shared" si="14"/>
        <v>0.11878174652520301</v>
      </c>
      <c r="N11" s="169"/>
      <c r="O11" s="139"/>
      <c r="P11" s="74">
        <f>SUMIFS(Data_Annual_BS!$D:$D,Data_Annual_BS!$A:$A,P$5-1,Data_Annual_BS!$B:$B,$A11)</f>
        <v>29963708</v>
      </c>
      <c r="Q11" s="136">
        <f>SUMIF(Data_Interim!$B:$B,$A11,Data_Interim!J:J)</f>
        <v>28417526</v>
      </c>
      <c r="R11" s="137">
        <f t="shared" si="15"/>
        <v>-1546182</v>
      </c>
      <c r="S11" s="138" t="str">
        <f t="shared" si="16"/>
        <v>▼</v>
      </c>
      <c r="T11" s="138">
        <f t="shared" si="17"/>
        <v>-5.1601824447094491E-2</v>
      </c>
      <c r="U11" s="169"/>
      <c r="V11" s="125"/>
    </row>
    <row r="12" spans="1:22" x14ac:dyDescent="0.3">
      <c r="A12" s="74" t="s">
        <v>7</v>
      </c>
      <c r="B12" s="74">
        <f>SUMIFS(Data_Annual_BS!$D:$D,Data_Annual_BS!$A:$A,B$5-1,Data_Annual_BS!$B:$B,$A12)</f>
        <v>36839898.379999995</v>
      </c>
      <c r="C12" s="136">
        <f>SUMIF(Data_Interim!$B:$B,$A12,Data_Interim!H:H)</f>
        <v>58687068</v>
      </c>
      <c r="D12" s="137">
        <f t="shared" si="9"/>
        <v>21847169.620000005</v>
      </c>
      <c r="E12" s="138" t="str">
        <f t="shared" si="10"/>
        <v>▲</v>
      </c>
      <c r="F12" s="138">
        <f t="shared" si="11"/>
        <v>0.59303012713684922</v>
      </c>
      <c r="G12" s="169"/>
      <c r="H12" s="139"/>
      <c r="I12" s="74">
        <f>SUMIFS(Data_Annual_BS!$D:$D,Data_Annual_BS!$A:$A,I$5-1,Data_Annual_BS!$B:$B,$A12)</f>
        <v>57999727</v>
      </c>
      <c r="J12" s="136">
        <f>SUMIF(Data_Interim!$B:$B,$A12,Data_Interim!I:I)</f>
        <v>68732476</v>
      </c>
      <c r="K12" s="137">
        <f t="shared" si="12"/>
        <v>10732749</v>
      </c>
      <c r="L12" s="138" t="str">
        <f t="shared" si="13"/>
        <v>▲</v>
      </c>
      <c r="M12" s="138">
        <f t="shared" si="14"/>
        <v>0.18504826755477666</v>
      </c>
      <c r="N12" s="169"/>
      <c r="O12" s="139"/>
      <c r="P12" s="74">
        <f>SUMIFS(Data_Annual_BS!$D:$D,Data_Annual_BS!$A:$A,P$5-1,Data_Annual_BS!$B:$B,$A12)</f>
        <v>63653763</v>
      </c>
      <c r="Q12" s="136">
        <f>SUMIF(Data_Interim!$B:$B,$A12,Data_Interim!J:J)</f>
        <v>64288031</v>
      </c>
      <c r="R12" s="137">
        <f t="shared" si="15"/>
        <v>634268</v>
      </c>
      <c r="S12" s="138" t="str">
        <f t="shared" si="16"/>
        <v>▲</v>
      </c>
      <c r="T12" s="138">
        <f t="shared" si="17"/>
        <v>9.9643441346899397E-3</v>
      </c>
      <c r="U12" s="169"/>
      <c r="V12" s="125"/>
    </row>
    <row r="13" spans="1:22" x14ac:dyDescent="0.3">
      <c r="A13" s="74" t="s">
        <v>198</v>
      </c>
      <c r="B13" s="74">
        <f>SUMIFS(Data_Annual_BS!$D:$D,Data_Annual_BS!$A:$A,B$5-1,Data_Annual_BS!$B:$B,$A13)</f>
        <v>570774.49</v>
      </c>
      <c r="C13" s="136">
        <f>SUMIF(Data_Interim!$B:$B,$A13,Data_Interim!H:H)</f>
        <v>959053</v>
      </c>
      <c r="D13" s="137">
        <f t="shared" si="9"/>
        <v>388278.51</v>
      </c>
      <c r="E13" s="138" t="str">
        <f t="shared" si="10"/>
        <v>▲</v>
      </c>
      <c r="F13" s="138">
        <f t="shared" si="11"/>
        <v>0.68026605393664319</v>
      </c>
      <c r="G13" s="169"/>
      <c r="H13" s="139"/>
      <c r="I13" s="74">
        <f>SUMIFS(Data_Annual_BS!$D:$D,Data_Annual_BS!$A:$A,I$5-1,Data_Annual_BS!$B:$B,$A13)</f>
        <v>1265317</v>
      </c>
      <c r="J13" s="136">
        <f>SUMIF(Data_Interim!$B:$B,$A13,Data_Interim!I:I)</f>
        <v>1298910</v>
      </c>
      <c r="K13" s="137">
        <f t="shared" si="12"/>
        <v>33593</v>
      </c>
      <c r="L13" s="138" t="str">
        <f t="shared" si="13"/>
        <v>▲</v>
      </c>
      <c r="M13" s="138">
        <f t="shared" si="14"/>
        <v>2.6549078215182487E-2</v>
      </c>
      <c r="N13" s="169"/>
      <c r="O13" s="139"/>
      <c r="P13" s="74">
        <f>SUMIFS(Data_Annual_BS!$D:$D,Data_Annual_BS!$A:$A,P$5-1,Data_Annual_BS!$B:$B,$A13)</f>
        <v>42738851</v>
      </c>
      <c r="Q13" s="136">
        <f>SUMIF(Data_Interim!$B:$B,$A13,Data_Interim!J:J)</f>
        <v>3278665</v>
      </c>
      <c r="R13" s="137">
        <f t="shared" si="15"/>
        <v>-39460186</v>
      </c>
      <c r="S13" s="138" t="str">
        <f t="shared" si="16"/>
        <v>▼</v>
      </c>
      <c r="T13" s="138">
        <f t="shared" si="17"/>
        <v>-0.9232860752386628</v>
      </c>
      <c r="U13" s="169"/>
      <c r="V13" s="125"/>
    </row>
    <row r="14" spans="1:22" x14ac:dyDescent="0.3">
      <c r="A14" s="145" t="s">
        <v>199</v>
      </c>
      <c r="B14" s="145">
        <f>SUMIFS(Data_Annual_BS!$D:$D,Data_Annual_BS!$A:$A,B$5-1,Data_Annual_BS!$B:$B,$A14)</f>
        <v>1080363.21</v>
      </c>
      <c r="C14" s="146">
        <f>SUMIF(Data_Interim!$B:$B,$A14,Data_Interim!H:H)</f>
        <v>2280411</v>
      </c>
      <c r="D14" s="137">
        <f t="shared" si="9"/>
        <v>1200047.79</v>
      </c>
      <c r="E14" s="138" t="str">
        <f t="shared" si="10"/>
        <v>▲</v>
      </c>
      <c r="F14" s="138">
        <f t="shared" si="11"/>
        <v>1.1107817990210904</v>
      </c>
      <c r="G14" s="169"/>
      <c r="H14" s="139"/>
      <c r="I14" s="145">
        <f>SUMIFS(Data_Annual_BS!$D:$D,Data_Annual_BS!$A:$A,I$5-1,Data_Annual_BS!$B:$B,$A14)</f>
        <v>2187278</v>
      </c>
      <c r="J14" s="146">
        <f>SUMIF(Data_Interim!$B:$B,$A14,Data_Interim!I:I)</f>
        <v>2392162</v>
      </c>
      <c r="K14" s="137">
        <f t="shared" si="12"/>
        <v>204884</v>
      </c>
      <c r="L14" s="138" t="str">
        <f t="shared" si="13"/>
        <v>▲</v>
      </c>
      <c r="M14" s="138">
        <f t="shared" si="14"/>
        <v>9.3670763387187161E-2</v>
      </c>
      <c r="N14" s="169"/>
      <c r="O14" s="139"/>
      <c r="P14" s="145">
        <f>SUMIFS(Data_Annual_BS!$D:$D,Data_Annual_BS!$A:$A,P$5-1,Data_Annual_BS!$B:$B,$A14)</f>
        <v>3864347</v>
      </c>
      <c r="Q14" s="146">
        <f>SUMIF(Data_Interim!$B:$B,$A14,Data_Interim!J:J)</f>
        <v>2226957</v>
      </c>
      <c r="R14" s="137">
        <f t="shared" si="15"/>
        <v>-1637390</v>
      </c>
      <c r="S14" s="138" t="str">
        <f t="shared" si="16"/>
        <v>▼</v>
      </c>
      <c r="T14" s="138">
        <f t="shared" si="17"/>
        <v>-0.42371712478201362</v>
      </c>
      <c r="U14" s="169"/>
      <c r="V14" s="125"/>
    </row>
    <row r="15" spans="1:22" x14ac:dyDescent="0.3">
      <c r="A15" s="74" t="s">
        <v>200</v>
      </c>
      <c r="B15" s="74">
        <f>SUMIFS(Data_Annual_BS!$D:$D,Data_Annual_BS!$A:$A,B$5-1,Data_Annual_BS!$B:$B,$A15)</f>
        <v>17588598.129999999</v>
      </c>
      <c r="C15" s="136">
        <f>SUMIF(Data_Interim!$B:$B,$A15,Data_Interim!H:H)</f>
        <v>4954192</v>
      </c>
      <c r="D15" s="137">
        <f t="shared" si="9"/>
        <v>-12634406.129999999</v>
      </c>
      <c r="E15" s="138" t="str">
        <f t="shared" si="10"/>
        <v>▼</v>
      </c>
      <c r="F15" s="138">
        <f t="shared" si="11"/>
        <v>-0.71832934248751301</v>
      </c>
      <c r="G15" s="169"/>
      <c r="H15" s="139"/>
      <c r="I15" s="74">
        <f>SUMIFS(Data_Annual_BS!$D:$D,Data_Annual_BS!$A:$A,I$5-1,Data_Annual_BS!$B:$B,$A15)</f>
        <v>12798377</v>
      </c>
      <c r="J15" s="136">
        <f>SUMIF(Data_Interim!$B:$B,$A15,Data_Interim!I:I)</f>
        <v>6496552</v>
      </c>
      <c r="K15" s="137">
        <f t="shared" si="12"/>
        <v>-6301825</v>
      </c>
      <c r="L15" s="138" t="str">
        <f t="shared" si="13"/>
        <v>▼</v>
      </c>
      <c r="M15" s="138">
        <f t="shared" si="14"/>
        <v>-0.49239251195678957</v>
      </c>
      <c r="N15" s="169"/>
      <c r="O15" s="139"/>
      <c r="P15" s="74">
        <f>SUMIFS(Data_Annual_BS!$D:$D,Data_Annual_BS!$A:$A,P$5-1,Data_Annual_BS!$B:$B,$A15)</f>
        <v>2772709</v>
      </c>
      <c r="Q15" s="136">
        <f>SUMIF(Data_Interim!$B:$B,$A15,Data_Interim!J:J)</f>
        <v>10305284</v>
      </c>
      <c r="R15" s="137">
        <f t="shared" si="15"/>
        <v>7532575</v>
      </c>
      <c r="S15" s="138" t="str">
        <f t="shared" si="16"/>
        <v>▲</v>
      </c>
      <c r="T15" s="138">
        <f t="shared" si="17"/>
        <v>2.7166842968374971</v>
      </c>
      <c r="U15" s="169"/>
      <c r="V15" s="125"/>
    </row>
    <row r="16" spans="1:22" ht="15" thickBot="1" x14ac:dyDescent="0.35">
      <c r="A16" s="74" t="s">
        <v>157</v>
      </c>
      <c r="B16" s="74">
        <f>SUMIFS(Data_Annual_BS!$D:$D,Data_Annual_BS!$A:$A,B$5-1,Data_Annual_BS!$B:$B,$A16)</f>
        <v>70844.84</v>
      </c>
      <c r="C16" s="136">
        <f>SUMIF(Data_Interim!$B:$B,$A16,Data_Interim!H:H)+1</f>
        <v>70846</v>
      </c>
      <c r="D16" s="137">
        <f t="shared" si="9"/>
        <v>1.1600000000034925</v>
      </c>
      <c r="E16" s="138" t="str">
        <f t="shared" si="10"/>
        <v>▲</v>
      </c>
      <c r="F16" s="138">
        <f t="shared" si="11"/>
        <v>1.637381071084576E-5</v>
      </c>
      <c r="G16" s="169"/>
      <c r="H16" s="139"/>
      <c r="I16" s="74">
        <f>SUMIFS(Data_Annual_BS!$D:$D,Data_Annual_BS!$A:$A,I$5-1,Data_Annual_BS!$B:$B,$A16)</f>
        <v>3760155</v>
      </c>
      <c r="J16" s="136">
        <f>SUMIF(Data_Interim!$B:$B,$A16,Data_Interim!I:I)</f>
        <v>3760155</v>
      </c>
      <c r="K16" s="137">
        <f t="shared" si="12"/>
        <v>0</v>
      </c>
      <c r="L16" s="138" t="str">
        <f t="shared" si="13"/>
        <v>▬</v>
      </c>
      <c r="M16" s="138">
        <f t="shared" si="14"/>
        <v>0</v>
      </c>
      <c r="N16" s="169"/>
      <c r="O16" s="139"/>
      <c r="P16" s="74">
        <f>SUMIFS(Data_Annual_BS!$D:$D,Data_Annual_BS!$A:$A,P$5-1,Data_Annual_BS!$B:$B,$A16)</f>
        <v>3760155</v>
      </c>
      <c r="Q16" s="136">
        <f>SUMIF(Data_Interim!$B:$B,$A16,Data_Interim!J:J)</f>
        <v>0</v>
      </c>
      <c r="R16" s="137">
        <f t="shared" si="15"/>
        <v>-3760155</v>
      </c>
      <c r="S16" s="138" t="str">
        <f t="shared" si="16"/>
        <v>▼</v>
      </c>
      <c r="T16" s="138">
        <f t="shared" si="17"/>
        <v>-1</v>
      </c>
      <c r="U16" s="169"/>
      <c r="V16" s="125"/>
    </row>
    <row r="17" spans="1:22" ht="15" thickBot="1" x14ac:dyDescent="0.35">
      <c r="A17" s="140" t="s">
        <v>8</v>
      </c>
      <c r="B17" s="141">
        <f>SUM(B11:B16)</f>
        <v>78436249.86999999</v>
      </c>
      <c r="C17" s="142">
        <f>SUM(C11:C16)</f>
        <v>92321418</v>
      </c>
      <c r="D17" s="141">
        <f t="shared" si="9"/>
        <v>13885168.13000001</v>
      </c>
      <c r="E17" s="143" t="str">
        <f t="shared" si="10"/>
        <v>▲</v>
      </c>
      <c r="F17" s="144">
        <f t="shared" si="11"/>
        <v>0.17702488521586957</v>
      </c>
      <c r="G17" s="169"/>
      <c r="H17" s="139"/>
      <c r="I17" s="141">
        <f>SUM(I11:I16)</f>
        <v>105658368</v>
      </c>
      <c r="J17" s="142">
        <f>SUM(J11:J16)</f>
        <v>113611789</v>
      </c>
      <c r="K17" s="141">
        <f t="shared" si="12"/>
        <v>7953421</v>
      </c>
      <c r="L17" s="143" t="str">
        <f t="shared" si="13"/>
        <v>▲</v>
      </c>
      <c r="M17" s="144">
        <f t="shared" si="14"/>
        <v>7.5274880263151545E-2</v>
      </c>
      <c r="N17" s="169"/>
      <c r="O17" s="139"/>
      <c r="P17" s="141">
        <f>SUM(P11:P16)</f>
        <v>146753533</v>
      </c>
      <c r="Q17" s="142">
        <f>SUM(Q11:Q16)</f>
        <v>108516463</v>
      </c>
      <c r="R17" s="141">
        <f t="shared" si="15"/>
        <v>-38237070</v>
      </c>
      <c r="S17" s="143" t="str">
        <f t="shared" si="16"/>
        <v>▼</v>
      </c>
      <c r="T17" s="144">
        <f t="shared" si="17"/>
        <v>-0.26055297762405494</v>
      </c>
      <c r="U17" s="169"/>
      <c r="V17" s="125"/>
    </row>
    <row r="18" spans="1:22" ht="15" thickBot="1" x14ac:dyDescent="0.35">
      <c r="A18" s="140" t="s">
        <v>10</v>
      </c>
      <c r="B18" s="141">
        <f>B17+B10</f>
        <v>231354180.93000001</v>
      </c>
      <c r="C18" s="142">
        <f>C17+C10</f>
        <v>241468408</v>
      </c>
      <c r="D18" s="141">
        <f t="shared" si="9"/>
        <v>10114227.069999993</v>
      </c>
      <c r="E18" s="143" t="str">
        <f t="shared" si="10"/>
        <v>▲</v>
      </c>
      <c r="F18" s="144">
        <f t="shared" si="11"/>
        <v>4.3717502875213698E-2</v>
      </c>
      <c r="G18" s="169"/>
      <c r="H18" s="139"/>
      <c r="I18" s="141">
        <f>I17+I10</f>
        <v>244022870</v>
      </c>
      <c r="J18" s="142">
        <f>J17+J10</f>
        <v>248553738</v>
      </c>
      <c r="K18" s="141">
        <f t="shared" si="12"/>
        <v>4530868</v>
      </c>
      <c r="L18" s="143" t="str">
        <f t="shared" si="13"/>
        <v>▲</v>
      </c>
      <c r="M18" s="144">
        <f t="shared" si="14"/>
        <v>1.8567390835129594E-2</v>
      </c>
      <c r="N18" s="169"/>
      <c r="O18" s="139"/>
      <c r="P18" s="141">
        <f>P17+P10</f>
        <v>280067417</v>
      </c>
      <c r="Q18" s="142">
        <f>Q17+Q10</f>
        <v>226494140</v>
      </c>
      <c r="R18" s="141">
        <f t="shared" si="15"/>
        <v>-53573277</v>
      </c>
      <c r="S18" s="143" t="str">
        <f t="shared" si="16"/>
        <v>▼</v>
      </c>
      <c r="T18" s="144">
        <f t="shared" si="17"/>
        <v>-0.19128707499737463</v>
      </c>
      <c r="U18" s="169"/>
      <c r="V18" s="125"/>
    </row>
    <row r="19" spans="1:22" x14ac:dyDescent="0.3">
      <c r="A19" s="74" t="s">
        <v>12</v>
      </c>
      <c r="B19" s="74">
        <f>SUMIFS(Data_Annual_BS!$D:$D,Data_Annual_BS!$A:$A,B$5-1,Data_Annual_BS!$B:$B,$A19)</f>
        <v>26412209.600000001</v>
      </c>
      <c r="C19" s="136">
        <f>SUMIF(Data_Interim!$B:$B,$A19,Data_Interim!H:H)</f>
        <v>26412210</v>
      </c>
      <c r="D19" s="137">
        <f t="shared" si="9"/>
        <v>0.39999999850988388</v>
      </c>
      <c r="E19" s="138" t="str">
        <f t="shared" si="10"/>
        <v>▲</v>
      </c>
      <c r="F19" s="138">
        <f t="shared" si="11"/>
        <v>1.5144510978615244E-8</v>
      </c>
      <c r="G19" s="169"/>
      <c r="H19" s="139"/>
      <c r="I19" s="74">
        <f>SUMIFS(Data_Annual_BS!$D:$D,Data_Annual_BS!$A:$A,I$5-1,Data_Annual_BS!$B:$B,$A19)</f>
        <v>26412210</v>
      </c>
      <c r="J19" s="136">
        <f>SUMIF(Data_Interim!$B:$B,$A19,Data_Interim!I:I)</f>
        <v>26412210</v>
      </c>
      <c r="K19" s="137">
        <f t="shared" si="12"/>
        <v>0</v>
      </c>
      <c r="L19" s="138" t="str">
        <f t="shared" si="13"/>
        <v>▬</v>
      </c>
      <c r="M19" s="138">
        <f t="shared" si="14"/>
        <v>0</v>
      </c>
      <c r="N19" s="169"/>
      <c r="O19" s="139"/>
      <c r="P19" s="74">
        <f>SUMIFS(Data_Annual_BS!$D:$D,Data_Annual_BS!$A:$A,P$5-1,Data_Annual_BS!$B:$B,$A19)</f>
        <v>26412210</v>
      </c>
      <c r="Q19" s="136">
        <f>SUMIF(Data_Interim!$B:$B,$A19,Data_Interim!J:J)</f>
        <v>52824419</v>
      </c>
      <c r="R19" s="137">
        <f t="shared" si="15"/>
        <v>26412209</v>
      </c>
      <c r="S19" s="138" t="str">
        <f t="shared" si="16"/>
        <v>▲</v>
      </c>
      <c r="T19" s="138">
        <f t="shared" si="17"/>
        <v>0.999999962138723</v>
      </c>
      <c r="U19" s="169"/>
      <c r="V19" s="125"/>
    </row>
    <row r="20" spans="1:22" x14ac:dyDescent="0.3">
      <c r="A20" s="74" t="s">
        <v>201</v>
      </c>
      <c r="B20" s="74">
        <f>SUMIFS(Data_Annual_BS!$D:$D,Data_Annual_BS!$A:$A,B$5-1,Data_Annual_BS!$B:$B,$A20)</f>
        <v>2182283.29</v>
      </c>
      <c r="C20" s="136">
        <f>SUMIF(Data_Interim!$B:$B,$A20,Data_Interim!H:H)</f>
        <v>2182283</v>
      </c>
      <c r="D20" s="137">
        <f t="shared" si="9"/>
        <v>-0.2900000000372529</v>
      </c>
      <c r="E20" s="138" t="str">
        <f t="shared" si="10"/>
        <v>▼</v>
      </c>
      <c r="F20" s="138">
        <f t="shared" si="11"/>
        <v>-1.328883382223367E-7</v>
      </c>
      <c r="G20" s="169"/>
      <c r="H20" s="139"/>
      <c r="I20" s="74">
        <f>SUMIFS(Data_Annual_BS!$D:$D,Data_Annual_BS!$A:$A,I$5-1,Data_Annual_BS!$B:$B,$A20)</f>
        <v>2182283</v>
      </c>
      <c r="J20" s="136">
        <f>SUMIF(Data_Interim!$B:$B,$A20,Data_Interim!I:I)</f>
        <v>2182283</v>
      </c>
      <c r="K20" s="137">
        <f t="shared" si="12"/>
        <v>0</v>
      </c>
      <c r="L20" s="138" t="str">
        <f t="shared" si="13"/>
        <v>▬</v>
      </c>
      <c r="M20" s="138">
        <f t="shared" si="14"/>
        <v>0</v>
      </c>
      <c r="N20" s="169"/>
      <c r="O20" s="139"/>
      <c r="P20" s="74">
        <f>SUMIFS(Data_Annual_BS!$D:$D,Data_Annual_BS!$A:$A,P$5-1,Data_Annual_BS!$B:$B,$A20)</f>
        <v>2182283</v>
      </c>
      <c r="Q20" s="136">
        <f>SUMIF(Data_Interim!$B:$B,$A20,Data_Interim!J:J)</f>
        <v>2182283</v>
      </c>
      <c r="R20" s="137">
        <f t="shared" si="15"/>
        <v>0</v>
      </c>
      <c r="S20" s="138" t="str">
        <f t="shared" si="16"/>
        <v>▬</v>
      </c>
      <c r="T20" s="138">
        <f t="shared" si="17"/>
        <v>0</v>
      </c>
      <c r="U20" s="169"/>
      <c r="V20" s="125"/>
    </row>
    <row r="21" spans="1:22" x14ac:dyDescent="0.3">
      <c r="A21" s="74" t="s">
        <v>15</v>
      </c>
      <c r="B21" s="74">
        <f>SUMIFS(Data_Annual_BS!$D:$D,Data_Annual_BS!$A:$A,B$5-1,Data_Annual_BS!$B:$B,$A21)</f>
        <v>59466596.82</v>
      </c>
      <c r="C21" s="136">
        <f>SUMIF(Data_Interim!$B:$B,$A21,Data_Interim!H:H)</f>
        <v>59234711</v>
      </c>
      <c r="D21" s="137">
        <f t="shared" si="9"/>
        <v>-231885.8200000003</v>
      </c>
      <c r="E21" s="138" t="str">
        <f t="shared" si="10"/>
        <v>▼</v>
      </c>
      <c r="F21" s="138">
        <f t="shared" si="11"/>
        <v>-3.8994298042966946E-3</v>
      </c>
      <c r="G21" s="169"/>
      <c r="H21" s="139"/>
      <c r="I21" s="74">
        <f>SUMIFS(Data_Annual_BS!$D:$D,Data_Annual_BS!$A:$A,I$5-1,Data_Annual_BS!$B:$B,$A21)</f>
        <v>58542209</v>
      </c>
      <c r="J21" s="136">
        <f>SUMIF(Data_Interim!$B:$B,$A21,Data_Interim!I:I)</f>
        <v>58289913</v>
      </c>
      <c r="K21" s="137">
        <f t="shared" si="12"/>
        <v>-252296</v>
      </c>
      <c r="L21" s="138" t="str">
        <f t="shared" si="13"/>
        <v>▼</v>
      </c>
      <c r="M21" s="138">
        <f t="shared" si="14"/>
        <v>-4.3096426375027752E-3</v>
      </c>
      <c r="N21" s="169"/>
      <c r="O21" s="139"/>
      <c r="P21" s="74">
        <f>SUMIFS(Data_Annual_BS!$D:$D,Data_Annual_BS!$A:$A,P$5-1,Data_Annual_BS!$B:$B,$A21)</f>
        <v>60895474.780000001</v>
      </c>
      <c r="Q21" s="136">
        <f>SUMIF(Data_Interim!$B:$B,$A21,Data_Interim!J:J)</f>
        <v>59775572</v>
      </c>
      <c r="R21" s="137">
        <f t="shared" si="15"/>
        <v>-1119902.7800000012</v>
      </c>
      <c r="S21" s="138" t="str">
        <f t="shared" si="16"/>
        <v>▼</v>
      </c>
      <c r="T21" s="138">
        <f t="shared" si="17"/>
        <v>-1.8390574735576481E-2</v>
      </c>
      <c r="U21" s="169"/>
      <c r="V21" s="125"/>
    </row>
    <row r="22" spans="1:22" ht="15" thickBot="1" x14ac:dyDescent="0.35">
      <c r="A22" s="74" t="s">
        <v>16</v>
      </c>
      <c r="B22" s="74">
        <f>SUMIFS(Data_Annual_BS!$D:$D,Data_Annual_BS!$A:$A,B$5-1,Data_Annual_BS!$B:$B,$A22)</f>
        <v>50151452.529999994</v>
      </c>
      <c r="C22" s="136">
        <f>SUMIF(Data_Interim!$B:$B,$A22,Data_Interim!H:H)</f>
        <v>51013095</v>
      </c>
      <c r="D22" s="137">
        <f t="shared" ref="D22" si="18">C22-B22</f>
        <v>861642.47000000626</v>
      </c>
      <c r="E22" s="138" t="str">
        <f t="shared" ref="E22" si="19">IF(C22&gt;B22,"▲",IF(C22=B22,"▬","▼"))</f>
        <v>▲</v>
      </c>
      <c r="F22" s="138">
        <f t="shared" ref="F22" si="20">IF(ISERROR(C22/B22-100%),0,C22/B22-100%)</f>
        <v>1.7180807863632408E-2</v>
      </c>
      <c r="G22" s="169"/>
      <c r="H22" s="139"/>
      <c r="I22" s="74">
        <f>SUMIFS(Data_Annual_BS!$D:$D,Data_Annual_BS!$A:$A,I$5-1,Data_Annual_BS!$B:$B,$A22)</f>
        <v>47008179</v>
      </c>
      <c r="J22" s="136">
        <f>SUMIF(Data_Interim!$B:$B,$A22,Data_Interim!I:I)</f>
        <v>48677929</v>
      </c>
      <c r="K22" s="137">
        <f t="shared" ref="K22" si="21">J22-I22</f>
        <v>1669750</v>
      </c>
      <c r="L22" s="138" t="str">
        <f t="shared" ref="L22" si="22">IF(J22&gt;I22,"▲",IF(J22=I22,"▬","▼"))</f>
        <v>▲</v>
      </c>
      <c r="M22" s="138">
        <f t="shared" ref="M22" si="23">IF(ISERROR(J22/I22-100%),0,J22/I22-100%)</f>
        <v>3.5520414436815306E-2</v>
      </c>
      <c r="N22" s="169"/>
      <c r="O22" s="139"/>
      <c r="P22" s="74">
        <f>SUMIFS(Data_Annual_BS!$D:$D,Data_Annual_BS!$A:$A,P$5-1,Data_Annual_BS!$B:$B,$A22)</f>
        <v>70732989.219999999</v>
      </c>
      <c r="Q22" s="136">
        <f>SUMIF(Data_Interim!$B:$B,$A22,Data_Interim!J:J)</f>
        <v>37455484</v>
      </c>
      <c r="R22" s="137">
        <f t="shared" ref="R22" si="24">Q22-P22</f>
        <v>-33277505.219999999</v>
      </c>
      <c r="S22" s="138" t="str">
        <f t="shared" ref="S22" si="25">IF(Q22&gt;P22,"▲",IF(Q22=P22,"▬","▼"))</f>
        <v>▼</v>
      </c>
      <c r="T22" s="138">
        <f t="shared" ref="T22" si="26">IF(ISERROR(Q22/P22-100%),0,Q22/P22-100%)</f>
        <v>-0.47046654732061954</v>
      </c>
      <c r="U22" s="169"/>
      <c r="V22" s="125"/>
    </row>
    <row r="23" spans="1:22" ht="15" thickBot="1" x14ac:dyDescent="0.35">
      <c r="A23" s="140" t="s">
        <v>18</v>
      </c>
      <c r="B23" s="141">
        <f>SUM(B19:B22)</f>
        <v>138212542.24000001</v>
      </c>
      <c r="C23" s="142">
        <f>SUM(C19:C22)</f>
        <v>138842299</v>
      </c>
      <c r="D23" s="141">
        <f t="shared" si="9"/>
        <v>629756.75999999046</v>
      </c>
      <c r="E23" s="143" t="str">
        <f t="shared" si="10"/>
        <v>▲</v>
      </c>
      <c r="F23" s="144">
        <f t="shared" si="11"/>
        <v>4.5564371351078936E-3</v>
      </c>
      <c r="G23" s="169"/>
      <c r="H23" s="139"/>
      <c r="I23" s="141">
        <f>SUM(I19:I22)</f>
        <v>134144881</v>
      </c>
      <c r="J23" s="142">
        <f>SUM(J19:J22)</f>
        <v>135562335</v>
      </c>
      <c r="K23" s="141">
        <f t="shared" si="12"/>
        <v>1417454</v>
      </c>
      <c r="L23" s="143" t="str">
        <f t="shared" si="13"/>
        <v>▲</v>
      </c>
      <c r="M23" s="144">
        <f t="shared" si="14"/>
        <v>1.0566590312156565E-2</v>
      </c>
      <c r="N23" s="169"/>
      <c r="O23" s="139"/>
      <c r="P23" s="141">
        <f>SUM(P19:P22)</f>
        <v>160222957</v>
      </c>
      <c r="Q23" s="142">
        <f>SUM(Q19:Q22)</f>
        <v>152237758</v>
      </c>
      <c r="R23" s="141">
        <f t="shared" si="15"/>
        <v>-7985199</v>
      </c>
      <c r="S23" s="143" t="str">
        <f t="shared" si="16"/>
        <v>▼</v>
      </c>
      <c r="T23" s="144">
        <f t="shared" si="17"/>
        <v>-4.9838045368242656E-2</v>
      </c>
      <c r="U23" s="169"/>
      <c r="V23" s="125"/>
    </row>
    <row r="24" spans="1:22" x14ac:dyDescent="0.3">
      <c r="A24" s="74" t="s">
        <v>203</v>
      </c>
      <c r="B24" s="74">
        <f>SUMIFS(Data_Annual_BS!$D:$D,Data_Annual_BS!$A:$A,B$5-1,Data_Annual_BS!$B:$B,$A24)</f>
        <v>200000</v>
      </c>
      <c r="C24" s="136">
        <f>SUMIF(Data_Interim!$B:$B,$A24,Data_Interim!H:H)</f>
        <v>200000</v>
      </c>
      <c r="D24" s="137">
        <f t="shared" si="9"/>
        <v>0</v>
      </c>
      <c r="E24" s="138" t="str">
        <f t="shared" si="10"/>
        <v>▬</v>
      </c>
      <c r="F24" s="138">
        <f t="shared" si="11"/>
        <v>0</v>
      </c>
      <c r="G24" s="169"/>
      <c r="H24" s="139"/>
      <c r="I24" s="74">
        <f>SUMIFS(Data_Annual_BS!$D:$D,Data_Annual_BS!$A:$A,I$5-1,Data_Annual_BS!$B:$B,$A24)</f>
        <v>400000</v>
      </c>
      <c r="J24" s="136">
        <f>SUMIF(Data_Interim!$B:$B,$A24,Data_Interim!I:I)</f>
        <v>400000</v>
      </c>
      <c r="K24" s="137">
        <f t="shared" si="12"/>
        <v>0</v>
      </c>
      <c r="L24" s="138" t="str">
        <f t="shared" si="13"/>
        <v>▬</v>
      </c>
      <c r="M24" s="138">
        <f t="shared" si="14"/>
        <v>0</v>
      </c>
      <c r="N24" s="169"/>
      <c r="O24" s="139"/>
      <c r="P24" s="74">
        <f>SUMIFS(Data_Annual_BS!$D:$D,Data_Annual_BS!$A:$A,P$5-1,Data_Annual_BS!$B:$B,$A24)</f>
        <v>1000000</v>
      </c>
      <c r="Q24" s="136">
        <f>SUMIF(Data_Interim!$B:$B,$A24,Data_Interim!J:J)</f>
        <v>1000000</v>
      </c>
      <c r="R24" s="137">
        <f t="shared" si="15"/>
        <v>0</v>
      </c>
      <c r="S24" s="138" t="str">
        <f t="shared" si="16"/>
        <v>▬</v>
      </c>
      <c r="T24" s="138">
        <f t="shared" si="17"/>
        <v>0</v>
      </c>
      <c r="U24" s="169"/>
      <c r="V24" s="125"/>
    </row>
    <row r="25" spans="1:22" s="75" customFormat="1" x14ac:dyDescent="0.3">
      <c r="A25" s="74" t="s">
        <v>205</v>
      </c>
      <c r="B25" s="74">
        <f>SUMIFS(Data_Annual_BS!$D:$D,Data_Annual_BS!$A:$A,B$5-1,Data_Annual_BS!$B:$B,$A25)</f>
        <v>7857468</v>
      </c>
      <c r="C25" s="136">
        <f>SUMIF(Data_Interim!$B:$B,$A25,Data_Interim!H:H)</f>
        <v>7857468</v>
      </c>
      <c r="D25" s="137">
        <f t="shared" si="9"/>
        <v>0</v>
      </c>
      <c r="E25" s="138" t="str">
        <f t="shared" si="10"/>
        <v>▬</v>
      </c>
      <c r="F25" s="138">
        <f t="shared" si="11"/>
        <v>0</v>
      </c>
      <c r="G25" s="169"/>
      <c r="H25" s="139"/>
      <c r="I25" s="74">
        <f>SUMIFS(Data_Annual_BS!$D:$D,Data_Annual_BS!$A:$A,I$5-1,Data_Annual_BS!$B:$B,$A25)</f>
        <v>8012574</v>
      </c>
      <c r="J25" s="136">
        <f>SUMIF(Data_Interim!$B:$B,$A25,Data_Interim!I:I)</f>
        <v>8012574</v>
      </c>
      <c r="K25" s="137">
        <f t="shared" si="12"/>
        <v>0</v>
      </c>
      <c r="L25" s="138" t="str">
        <f t="shared" si="13"/>
        <v>▬</v>
      </c>
      <c r="M25" s="138">
        <f t="shared" si="14"/>
        <v>0</v>
      </c>
      <c r="N25" s="169"/>
      <c r="O25" s="139"/>
      <c r="P25" s="74">
        <f>SUMIFS(Data_Annual_BS!$D:$D,Data_Annual_BS!$A:$A,P$5-1,Data_Annual_BS!$B:$B,$A25)</f>
        <v>7780659</v>
      </c>
      <c r="Q25" s="136">
        <f>SUMIF(Data_Interim!$B:$B,$A25,Data_Interim!J:J)</f>
        <v>7780659</v>
      </c>
      <c r="R25" s="137">
        <f t="shared" si="15"/>
        <v>0</v>
      </c>
      <c r="S25" s="138" t="str">
        <f t="shared" si="16"/>
        <v>▬</v>
      </c>
      <c r="T25" s="138">
        <f t="shared" si="17"/>
        <v>0</v>
      </c>
      <c r="U25" s="169"/>
      <c r="V25" s="126"/>
    </row>
    <row r="26" spans="1:22" x14ac:dyDescent="0.3">
      <c r="A26" s="74" t="s">
        <v>160</v>
      </c>
      <c r="B26" s="74">
        <f>SUMIFS(Data_Annual_BS!$D:$D,Data_Annual_BS!$A:$A,B$5-1,Data_Annual_BS!$B:$B,$A26)</f>
        <v>6420472.3300000001</v>
      </c>
      <c r="C26" s="136">
        <f>SUMIF(Data_Interim!$B:$B,$A26,Data_Interim!H:H)</f>
        <v>4391676</v>
      </c>
      <c r="D26" s="137">
        <f t="shared" si="9"/>
        <v>-2028796.33</v>
      </c>
      <c r="E26" s="138" t="str">
        <f t="shared" si="10"/>
        <v>▼</v>
      </c>
      <c r="F26" s="138">
        <f t="shared" si="11"/>
        <v>-0.31598864160201123</v>
      </c>
      <c r="G26" s="169"/>
      <c r="H26" s="139"/>
      <c r="I26" s="74">
        <f>SUMIFS(Data_Annual_BS!$D:$D,Data_Annual_BS!$A:$A,I$5-1,Data_Annual_BS!$B:$B,$A26)</f>
        <v>4017590</v>
      </c>
      <c r="J26" s="136">
        <f>SUMIF(Data_Interim!$B:$B,$A26,Data_Interim!I:I)</f>
        <v>2775047</v>
      </c>
      <c r="K26" s="137">
        <f t="shared" si="12"/>
        <v>-1242543</v>
      </c>
      <c r="L26" s="138" t="str">
        <f t="shared" si="13"/>
        <v>▼</v>
      </c>
      <c r="M26" s="138">
        <f t="shared" si="14"/>
        <v>-0.30927571006498922</v>
      </c>
      <c r="N26" s="169"/>
      <c r="O26" s="139"/>
      <c r="P26" s="74">
        <f>SUMIFS(Data_Annual_BS!$D:$D,Data_Annual_BS!$A:$A,P$5-1,Data_Annual_BS!$B:$B,$A26)</f>
        <v>4044764</v>
      </c>
      <c r="Q26" s="136">
        <f>SUMIF(Data_Interim!$B:$B,$A26,Data_Interim!J:J)</f>
        <v>8190409</v>
      </c>
      <c r="R26" s="137">
        <f t="shared" si="15"/>
        <v>4145645</v>
      </c>
      <c r="S26" s="138" t="str">
        <f t="shared" si="16"/>
        <v>▲</v>
      </c>
      <c r="T26" s="138">
        <f t="shared" si="17"/>
        <v>1.0249411337719581</v>
      </c>
      <c r="U26" s="169"/>
      <c r="V26" s="125"/>
    </row>
    <row r="27" spans="1:22" ht="15" thickBot="1" x14ac:dyDescent="0.35">
      <c r="A27" s="74" t="s">
        <v>206</v>
      </c>
      <c r="B27" s="74">
        <f>SUMIFS(Data_Annual_BS!$D:$D,Data_Annual_BS!$A:$A,B$5-1,Data_Annual_BS!$B:$B,$A27)</f>
        <v>10879379.199999999</v>
      </c>
      <c r="C27" s="136">
        <f>SUMIF(Data_Interim!$B:$B,$A27,Data_Interim!H:H)</f>
        <v>9749654</v>
      </c>
      <c r="D27" s="137">
        <f t="shared" si="9"/>
        <v>-1129725.1999999993</v>
      </c>
      <c r="E27" s="138" t="str">
        <f t="shared" si="10"/>
        <v>▼</v>
      </c>
      <c r="F27" s="138">
        <f t="shared" si="11"/>
        <v>-0.10384096180782076</v>
      </c>
      <c r="G27" s="169"/>
      <c r="H27" s="139"/>
      <c r="I27" s="74">
        <f>SUMIFS(Data_Annual_BS!$D:$D,Data_Annual_BS!$A:$A,I$5-1,Data_Annual_BS!$B:$B,$A27)</f>
        <v>8619928</v>
      </c>
      <c r="J27" s="136">
        <f>SUMIF(Data_Interim!$B:$B,$A27,Data_Interim!I:I)</f>
        <v>7790433</v>
      </c>
      <c r="K27" s="137">
        <f t="shared" si="12"/>
        <v>-829495</v>
      </c>
      <c r="L27" s="138" t="str">
        <f t="shared" si="13"/>
        <v>▼</v>
      </c>
      <c r="M27" s="138">
        <f t="shared" si="14"/>
        <v>-9.6229922106077947E-2</v>
      </c>
      <c r="N27" s="169"/>
      <c r="O27" s="139"/>
      <c r="P27" s="74">
        <f>SUMIFS(Data_Annual_BS!$D:$D,Data_Annual_BS!$A:$A,P$5-1,Data_Annual_BS!$B:$B,$A27)</f>
        <v>7475188</v>
      </c>
      <c r="Q27" s="136">
        <f>SUMIF(Data_Interim!$B:$B,$A27,Data_Interim!J:J)</f>
        <v>6418199</v>
      </c>
      <c r="R27" s="137">
        <f t="shared" si="15"/>
        <v>-1056989</v>
      </c>
      <c r="S27" s="138" t="str">
        <f t="shared" si="16"/>
        <v>▼</v>
      </c>
      <c r="T27" s="138">
        <f t="shared" si="17"/>
        <v>-0.14139965443009594</v>
      </c>
      <c r="U27" s="169"/>
      <c r="V27" s="125"/>
    </row>
    <row r="28" spans="1:22" ht="15" thickBot="1" x14ac:dyDescent="0.35">
      <c r="A28" s="140" t="s">
        <v>21</v>
      </c>
      <c r="B28" s="141">
        <f>SUM(B24:B27)</f>
        <v>25357319.530000001</v>
      </c>
      <c r="C28" s="142">
        <f>SUM(C24:C27)</f>
        <v>22198798</v>
      </c>
      <c r="D28" s="141">
        <f t="shared" si="9"/>
        <v>-3158521.5300000012</v>
      </c>
      <c r="E28" s="143" t="str">
        <f t="shared" si="10"/>
        <v>▼</v>
      </c>
      <c r="F28" s="144">
        <f t="shared" si="11"/>
        <v>-0.12456054459002197</v>
      </c>
      <c r="G28" s="169"/>
      <c r="H28" s="139"/>
      <c r="I28" s="141">
        <f>SUM(I24:I27)</f>
        <v>21050092</v>
      </c>
      <c r="J28" s="142">
        <f>SUM(J24:J27)</f>
        <v>18978054</v>
      </c>
      <c r="K28" s="141">
        <f t="shared" si="12"/>
        <v>-2072038</v>
      </c>
      <c r="L28" s="143" t="str">
        <f t="shared" si="13"/>
        <v>▼</v>
      </c>
      <c r="M28" s="144">
        <f t="shared" si="14"/>
        <v>-9.8433679054704348E-2</v>
      </c>
      <c r="N28" s="169"/>
      <c r="O28" s="139"/>
      <c r="P28" s="141">
        <f>SUM(P24:P27)</f>
        <v>20300611</v>
      </c>
      <c r="Q28" s="142">
        <f>SUM(Q24:Q27)</f>
        <v>23389267</v>
      </c>
      <c r="R28" s="141">
        <f t="shared" si="15"/>
        <v>3088656</v>
      </c>
      <c r="S28" s="143" t="str">
        <f t="shared" si="16"/>
        <v>▲</v>
      </c>
      <c r="T28" s="144">
        <f t="shared" si="17"/>
        <v>0.15214596250329615</v>
      </c>
      <c r="U28" s="169"/>
      <c r="V28" s="125"/>
    </row>
    <row r="29" spans="1:22" x14ac:dyDescent="0.3">
      <c r="A29" s="74" t="s">
        <v>163</v>
      </c>
      <c r="B29" s="74">
        <f>SUMIFS(Data_Annual_BS!$D:$D,Data_Annual_BS!$A:$A,B$5-1,Data_Annual_BS!$B:$B,$A29)</f>
        <v>26129532.000000004</v>
      </c>
      <c r="C29" s="136">
        <f>SUMIF(Data_Interim!$B:$B,$A29,Data_Interim!H:H)</f>
        <v>34582853</v>
      </c>
      <c r="D29" s="137">
        <f t="shared" si="9"/>
        <v>8453320.9999999963</v>
      </c>
      <c r="E29" s="138" t="str">
        <f t="shared" si="10"/>
        <v>▲</v>
      </c>
      <c r="F29" s="138">
        <f t="shared" si="11"/>
        <v>0.32351597418583666</v>
      </c>
      <c r="G29" s="169"/>
      <c r="H29" s="139"/>
      <c r="I29" s="74">
        <f>SUMIFS(Data_Annual_BS!$D:$D,Data_Annual_BS!$A:$A,I$5-1,Data_Annual_BS!$B:$B,$A29)</f>
        <v>37161910</v>
      </c>
      <c r="J29" s="136">
        <f>SUMIF(Data_Interim!$B:$B,$A29,Data_Interim!I:I)</f>
        <v>39150062</v>
      </c>
      <c r="K29" s="137">
        <f t="shared" si="12"/>
        <v>1988152</v>
      </c>
      <c r="L29" s="138" t="str">
        <f t="shared" si="13"/>
        <v>▲</v>
      </c>
      <c r="M29" s="138">
        <f t="shared" si="14"/>
        <v>5.3499725929049502E-2</v>
      </c>
      <c r="N29" s="169"/>
      <c r="O29" s="139"/>
      <c r="P29" s="74">
        <f>SUMIFS(Data_Annual_BS!$D:$D,Data_Annual_BS!$A:$A,P$5-1,Data_Annual_BS!$B:$B,$A29)</f>
        <v>48060900</v>
      </c>
      <c r="Q29" s="136">
        <f>SUMIF(Data_Interim!$B:$B,$A29,Data_Interim!J:J)</f>
        <v>25346837</v>
      </c>
      <c r="R29" s="137">
        <f t="shared" si="15"/>
        <v>-22714063</v>
      </c>
      <c r="S29" s="138" t="str">
        <f t="shared" si="16"/>
        <v>▼</v>
      </c>
      <c r="T29" s="138">
        <f t="shared" si="17"/>
        <v>-0.4726100218680882</v>
      </c>
      <c r="U29" s="169"/>
      <c r="V29" s="125"/>
    </row>
    <row r="30" spans="1:22" x14ac:dyDescent="0.3">
      <c r="A30" s="145" t="s">
        <v>164</v>
      </c>
      <c r="B30" s="145">
        <f>SUMIFS(Data_Annual_BS!$D:$D,Data_Annual_BS!$A:$A,B$5-1,Data_Annual_BS!$B:$B,$A30)</f>
        <v>37277228.120000005</v>
      </c>
      <c r="C30" s="146">
        <f>SUMIF(Data_Interim!$B:$B,$A30,Data_Interim!H:H)</f>
        <v>39590380</v>
      </c>
      <c r="D30" s="137">
        <f t="shared" si="9"/>
        <v>2313151.8799999952</v>
      </c>
      <c r="E30" s="138" t="str">
        <f t="shared" si="10"/>
        <v>▲</v>
      </c>
      <c r="F30" s="138">
        <f t="shared" si="11"/>
        <v>6.205267925377056E-2</v>
      </c>
      <c r="G30" s="169"/>
      <c r="H30" s="139"/>
      <c r="I30" s="145">
        <f>SUMIFS(Data_Annual_BS!$D:$D,Data_Annual_BS!$A:$A,I$5-1,Data_Annual_BS!$B:$B,$A30)</f>
        <v>46860194</v>
      </c>
      <c r="J30" s="146">
        <f>SUMIF(Data_Interim!$B:$B,$A30,Data_Interim!I:I)</f>
        <v>48545377</v>
      </c>
      <c r="K30" s="137">
        <f t="shared" si="12"/>
        <v>1685183</v>
      </c>
      <c r="L30" s="138" t="str">
        <f t="shared" si="13"/>
        <v>▲</v>
      </c>
      <c r="M30" s="138">
        <f t="shared" si="14"/>
        <v>3.5961929649715119E-2</v>
      </c>
      <c r="N30" s="169"/>
      <c r="O30" s="139"/>
      <c r="P30" s="145">
        <f>SUMIFS(Data_Annual_BS!$D:$D,Data_Annual_BS!$A:$A,P$5-1,Data_Annual_BS!$B:$B,$A30)</f>
        <v>45859692</v>
      </c>
      <c r="Q30" s="146">
        <f>SUMIF(Data_Interim!$B:$B,$A30,Data_Interim!J:J)</f>
        <v>20046543</v>
      </c>
      <c r="R30" s="137">
        <f t="shared" si="15"/>
        <v>-25813149</v>
      </c>
      <c r="S30" s="138" t="str">
        <f t="shared" si="16"/>
        <v>▼</v>
      </c>
      <c r="T30" s="138">
        <f t="shared" si="17"/>
        <v>-0.56287227136196205</v>
      </c>
      <c r="U30" s="169"/>
      <c r="V30" s="125"/>
    </row>
    <row r="31" spans="1:22" ht="15" thickBot="1" x14ac:dyDescent="0.35">
      <c r="A31" s="74" t="s">
        <v>166</v>
      </c>
      <c r="B31" s="74">
        <f>SUMIFS(Data_Annual_BS!$D:$D,Data_Annual_BS!$A:$A,B$5-1,Data_Annual_BS!$B:$B,$A31)</f>
        <v>4377559.0299999993</v>
      </c>
      <c r="C31" s="136">
        <f>SUMIF(Data_Interim!$B:$B,$A31,Data_Interim!H:H)</f>
        <v>6254077</v>
      </c>
      <c r="D31" s="137">
        <f t="shared" si="9"/>
        <v>1876517.9700000007</v>
      </c>
      <c r="E31" s="138" t="str">
        <f t="shared" si="10"/>
        <v>▲</v>
      </c>
      <c r="F31" s="147">
        <f t="shared" si="11"/>
        <v>0.42866765636738902</v>
      </c>
      <c r="G31" s="169"/>
      <c r="H31" s="139"/>
      <c r="I31" s="74">
        <f>SUMIFS(Data_Annual_BS!$D:$D,Data_Annual_BS!$A:$A,I$5-1,Data_Annual_BS!$B:$B,$A31)</f>
        <v>4805793</v>
      </c>
      <c r="J31" s="136">
        <f>SUMIF(Data_Interim!$B:$B,$A31,Data_Interim!I:I)</f>
        <v>6317910</v>
      </c>
      <c r="K31" s="137">
        <f t="shared" si="12"/>
        <v>1512117</v>
      </c>
      <c r="L31" s="138" t="str">
        <f t="shared" si="13"/>
        <v>▲</v>
      </c>
      <c r="M31" s="147">
        <f t="shared" si="14"/>
        <v>0.31464463825220945</v>
      </c>
      <c r="N31" s="169"/>
      <c r="O31" s="139"/>
      <c r="P31" s="74">
        <f>SUMIFS(Data_Annual_BS!$D:$D,Data_Annual_BS!$A:$A,P$5-1,Data_Annual_BS!$B:$B,$A31)</f>
        <v>5623258</v>
      </c>
      <c r="Q31" s="136">
        <f>SUMIF(Data_Interim!$B:$B,$A31,Data_Interim!J:J)</f>
        <v>5473735</v>
      </c>
      <c r="R31" s="137">
        <f t="shared" si="15"/>
        <v>-149523</v>
      </c>
      <c r="S31" s="138" t="str">
        <f t="shared" si="16"/>
        <v>▼</v>
      </c>
      <c r="T31" s="147">
        <f t="shared" si="17"/>
        <v>-2.6590101325601689E-2</v>
      </c>
      <c r="U31" s="169"/>
      <c r="V31" s="125"/>
    </row>
    <row r="32" spans="1:22" ht="15" thickBot="1" x14ac:dyDescent="0.35">
      <c r="A32" s="140" t="s">
        <v>23</v>
      </c>
      <c r="B32" s="140">
        <f>SUM(B29:B31)</f>
        <v>67784319.150000006</v>
      </c>
      <c r="C32" s="148">
        <f>SUM(C29:C31)</f>
        <v>80427310</v>
      </c>
      <c r="D32" s="141">
        <f t="shared" si="9"/>
        <v>12642990.849999994</v>
      </c>
      <c r="E32" s="143" t="str">
        <f t="shared" si="10"/>
        <v>▲</v>
      </c>
      <c r="F32" s="144">
        <f t="shared" si="11"/>
        <v>0.18651792934620026</v>
      </c>
      <c r="G32" s="169"/>
      <c r="H32" s="139"/>
      <c r="I32" s="140">
        <f>SUM(I29:I31)</f>
        <v>88827897</v>
      </c>
      <c r="J32" s="148">
        <f>SUM(J29:J31)</f>
        <v>94013349</v>
      </c>
      <c r="K32" s="141">
        <f t="shared" si="12"/>
        <v>5185452</v>
      </c>
      <c r="L32" s="143" t="str">
        <f t="shared" si="13"/>
        <v>▲</v>
      </c>
      <c r="M32" s="144">
        <f t="shared" si="14"/>
        <v>5.8376390471115203E-2</v>
      </c>
      <c r="N32" s="169"/>
      <c r="O32" s="139"/>
      <c r="P32" s="140">
        <f>SUM(P29:P31)</f>
        <v>99543850</v>
      </c>
      <c r="Q32" s="148">
        <f>SUM(Q29:Q31)</f>
        <v>50867115</v>
      </c>
      <c r="R32" s="141">
        <f t="shared" si="15"/>
        <v>-48676735</v>
      </c>
      <c r="S32" s="143" t="str">
        <f t="shared" si="16"/>
        <v>▼</v>
      </c>
      <c r="T32" s="144">
        <f t="shared" si="17"/>
        <v>-0.48899791398464099</v>
      </c>
      <c r="U32" s="169"/>
      <c r="V32" s="125"/>
    </row>
    <row r="33" spans="1:22" ht="15" thickBot="1" x14ac:dyDescent="0.35">
      <c r="A33" s="140" t="s">
        <v>25</v>
      </c>
      <c r="B33" s="140">
        <f>B32+B28</f>
        <v>93141638.680000007</v>
      </c>
      <c r="C33" s="148">
        <f>C32+C28</f>
        <v>102626108</v>
      </c>
      <c r="D33" s="141">
        <f t="shared" si="9"/>
        <v>9484469.3199999928</v>
      </c>
      <c r="E33" s="143" t="str">
        <f t="shared" si="10"/>
        <v>▲</v>
      </c>
      <c r="F33" s="144">
        <f t="shared" si="11"/>
        <v>0.10182845668611318</v>
      </c>
      <c r="G33" s="169"/>
      <c r="H33" s="139"/>
      <c r="I33" s="140">
        <f>I32+I28</f>
        <v>109877989</v>
      </c>
      <c r="J33" s="148">
        <f>J32+J28</f>
        <v>112991403</v>
      </c>
      <c r="K33" s="141">
        <f t="shared" si="12"/>
        <v>3113414</v>
      </c>
      <c r="L33" s="143" t="str">
        <f t="shared" si="13"/>
        <v>▲</v>
      </c>
      <c r="M33" s="144">
        <f t="shared" si="14"/>
        <v>2.8335192774596507E-2</v>
      </c>
      <c r="N33" s="169"/>
      <c r="O33" s="139"/>
      <c r="P33" s="140">
        <f>P32+P28</f>
        <v>119844461</v>
      </c>
      <c r="Q33" s="148">
        <f>Q32+Q28</f>
        <v>74256382</v>
      </c>
      <c r="R33" s="141">
        <f t="shared" si="15"/>
        <v>-45588079</v>
      </c>
      <c r="S33" s="143" t="str">
        <f t="shared" si="16"/>
        <v>▼</v>
      </c>
      <c r="T33" s="144">
        <f t="shared" si="17"/>
        <v>-0.38039370880895362</v>
      </c>
      <c r="U33" s="169"/>
      <c r="V33" s="125"/>
    </row>
    <row r="34" spans="1:22" ht="15" thickBot="1" x14ac:dyDescent="0.35">
      <c r="A34" s="140" t="s">
        <v>27</v>
      </c>
      <c r="B34" s="140">
        <f>B33+B23</f>
        <v>231354180.92000002</v>
      </c>
      <c r="C34" s="148">
        <f>C33+C23</f>
        <v>241468407</v>
      </c>
      <c r="D34" s="141">
        <f t="shared" si="9"/>
        <v>10114226.079999983</v>
      </c>
      <c r="E34" s="143" t="str">
        <f t="shared" si="10"/>
        <v>▲</v>
      </c>
      <c r="F34" s="144">
        <f t="shared" si="11"/>
        <v>4.3717498597950044E-2</v>
      </c>
      <c r="G34" s="169"/>
      <c r="H34" s="139"/>
      <c r="I34" s="140">
        <f>I33+I23</f>
        <v>244022870</v>
      </c>
      <c r="J34" s="148">
        <f>J33+J23</f>
        <v>248553738</v>
      </c>
      <c r="K34" s="141">
        <f t="shared" si="12"/>
        <v>4530868</v>
      </c>
      <c r="L34" s="143" t="str">
        <f t="shared" si="13"/>
        <v>▲</v>
      </c>
      <c r="M34" s="144">
        <f t="shared" si="14"/>
        <v>1.8567390835129594E-2</v>
      </c>
      <c r="N34" s="169"/>
      <c r="O34" s="139"/>
      <c r="P34" s="140">
        <f>P33+P23</f>
        <v>280067418</v>
      </c>
      <c r="Q34" s="148">
        <f>Q33+Q23</f>
        <v>226494140</v>
      </c>
      <c r="R34" s="141">
        <f t="shared" si="15"/>
        <v>-53573278</v>
      </c>
      <c r="S34" s="143" t="str">
        <f t="shared" si="16"/>
        <v>▼</v>
      </c>
      <c r="T34" s="144">
        <f t="shared" si="17"/>
        <v>-0.19128707788493982</v>
      </c>
      <c r="U34" s="169"/>
      <c r="V34" s="125"/>
    </row>
    <row r="35" spans="1:22" x14ac:dyDescent="0.3">
      <c r="G35" s="168"/>
      <c r="H35" s="125"/>
      <c r="N35" s="168"/>
      <c r="O35" s="125"/>
      <c r="U35" s="168"/>
      <c r="V35" s="125"/>
    </row>
    <row r="36" spans="1:22" x14ac:dyDescent="0.3">
      <c r="A36" s="23"/>
      <c r="B36" s="62">
        <f>B34-B18</f>
        <v>-9.9999904632568359E-3</v>
      </c>
      <c r="C36" s="62">
        <f>C34-C18</f>
        <v>-1</v>
      </c>
      <c r="G36" s="168"/>
      <c r="H36" s="125"/>
      <c r="I36" s="62">
        <f>I34-I18</f>
        <v>0</v>
      </c>
      <c r="J36" s="62">
        <f>J34-J18</f>
        <v>0</v>
      </c>
      <c r="N36" s="168"/>
      <c r="O36" s="125"/>
      <c r="P36" s="62">
        <f>P34-P18</f>
        <v>1</v>
      </c>
      <c r="Q36" s="62">
        <f>Q34-Q18</f>
        <v>0</v>
      </c>
      <c r="U36" s="168"/>
      <c r="V36" s="125"/>
    </row>
    <row r="37" spans="1:22" x14ac:dyDescent="0.3">
      <c r="A37" s="23" t="s">
        <v>41</v>
      </c>
    </row>
    <row r="41" spans="1:22" x14ac:dyDescent="0.3">
      <c r="B41" s="62"/>
      <c r="C41" s="62"/>
      <c r="D41" s="62"/>
      <c r="E41" s="62"/>
      <c r="G41" s="62"/>
      <c r="H41" s="62"/>
      <c r="I41" s="62"/>
      <c r="J41" s="62"/>
      <c r="K41" s="62"/>
      <c r="L41" s="62"/>
      <c r="N41" s="62"/>
      <c r="O41" s="62"/>
      <c r="P41" s="62"/>
      <c r="Q41" s="62"/>
      <c r="R41" s="62"/>
      <c r="S41" s="62"/>
      <c r="U41" s="62"/>
      <c r="V41" s="62"/>
    </row>
    <row r="42" spans="1:22" x14ac:dyDescent="0.3">
      <c r="B42" s="62"/>
      <c r="C42" s="62"/>
      <c r="D42" s="62"/>
      <c r="E42" s="62"/>
      <c r="G42" s="62"/>
      <c r="H42" s="62"/>
      <c r="I42" s="62"/>
      <c r="J42" s="62"/>
      <c r="K42" s="62"/>
      <c r="L42" s="62"/>
      <c r="N42" s="62"/>
      <c r="O42" s="62"/>
      <c r="P42" s="62"/>
      <c r="Q42" s="62"/>
      <c r="R42" s="62"/>
      <c r="S42" s="62"/>
      <c r="U42" s="62"/>
      <c r="V42" s="62"/>
    </row>
    <row r="43" spans="1:22" x14ac:dyDescent="0.3">
      <c r="B43" s="62"/>
      <c r="C43" s="62"/>
      <c r="D43" s="62"/>
      <c r="E43" s="62"/>
      <c r="G43" s="62"/>
      <c r="H43" s="62"/>
      <c r="I43" s="62"/>
      <c r="J43" s="62"/>
      <c r="K43" s="62"/>
      <c r="L43" s="62"/>
      <c r="N43" s="62"/>
      <c r="O43" s="62"/>
      <c r="P43" s="62"/>
      <c r="Q43" s="62"/>
      <c r="R43" s="62"/>
      <c r="S43" s="62"/>
      <c r="U43" s="62"/>
      <c r="V43" s="62"/>
    </row>
    <row r="44" spans="1:22" x14ac:dyDescent="0.3">
      <c r="B44" s="62"/>
      <c r="C44" s="62"/>
      <c r="D44" s="62"/>
      <c r="E44" s="62"/>
      <c r="G44" s="62"/>
      <c r="H44" s="62"/>
      <c r="I44" s="62"/>
      <c r="J44" s="62"/>
      <c r="K44" s="62"/>
      <c r="L44" s="62"/>
      <c r="N44" s="62"/>
      <c r="O44" s="62"/>
      <c r="P44" s="62"/>
      <c r="Q44" s="62"/>
      <c r="R44" s="62"/>
      <c r="S44" s="62"/>
      <c r="U44" s="62"/>
      <c r="V44" s="62"/>
    </row>
    <row r="45" spans="1:22" x14ac:dyDescent="0.3">
      <c r="B45" s="62"/>
      <c r="C45" s="62"/>
      <c r="D45" s="62"/>
      <c r="E45" s="62"/>
      <c r="G45" s="62"/>
      <c r="H45" s="62"/>
      <c r="I45" s="62"/>
      <c r="J45" s="62"/>
      <c r="K45" s="62"/>
      <c r="L45" s="62"/>
      <c r="N45" s="62"/>
      <c r="O45" s="62"/>
      <c r="P45" s="62"/>
      <c r="Q45" s="62"/>
      <c r="R45" s="62"/>
      <c r="S45" s="62"/>
      <c r="U45" s="62"/>
      <c r="V45" s="62"/>
    </row>
    <row r="46" spans="1:22" x14ac:dyDescent="0.3">
      <c r="B46" s="62"/>
      <c r="C46" s="62"/>
      <c r="D46" s="62"/>
      <c r="E46" s="62"/>
      <c r="G46" s="62"/>
      <c r="H46" s="62"/>
      <c r="I46" s="62"/>
      <c r="J46" s="62"/>
      <c r="K46" s="62"/>
      <c r="L46" s="62"/>
      <c r="N46" s="62"/>
      <c r="O46" s="62"/>
      <c r="P46" s="62"/>
      <c r="Q46" s="62"/>
      <c r="R46" s="62"/>
      <c r="S46" s="62"/>
      <c r="U46" s="62"/>
      <c r="V46" s="62"/>
    </row>
    <row r="47" spans="1:22" x14ac:dyDescent="0.3">
      <c r="B47" s="62"/>
      <c r="C47" s="62"/>
      <c r="D47" s="62"/>
      <c r="E47" s="62"/>
      <c r="G47" s="62"/>
      <c r="H47" s="62"/>
      <c r="I47" s="62"/>
      <c r="J47" s="62"/>
      <c r="K47" s="62"/>
      <c r="L47" s="62"/>
      <c r="N47" s="62"/>
      <c r="O47" s="62"/>
      <c r="P47" s="62"/>
      <c r="Q47" s="62"/>
      <c r="R47" s="62"/>
      <c r="S47" s="62"/>
      <c r="U47" s="62"/>
      <c r="V47" s="62"/>
    </row>
    <row r="48" spans="1:22" x14ac:dyDescent="0.3">
      <c r="B48" s="62"/>
      <c r="C48" s="62"/>
      <c r="D48" s="62"/>
      <c r="E48" s="62"/>
      <c r="G48" s="62"/>
      <c r="H48" s="62"/>
      <c r="I48" s="62"/>
      <c r="J48" s="62"/>
      <c r="K48" s="62"/>
      <c r="L48" s="62"/>
      <c r="N48" s="62"/>
      <c r="O48" s="62"/>
      <c r="P48" s="62"/>
      <c r="Q48" s="62"/>
      <c r="R48" s="62"/>
      <c r="S48" s="62"/>
      <c r="U48" s="62"/>
      <c r="V48" s="62"/>
    </row>
    <row r="49" spans="2:22" x14ac:dyDescent="0.3">
      <c r="B49" s="62"/>
      <c r="C49" s="62"/>
      <c r="D49" s="62"/>
      <c r="E49" s="62"/>
      <c r="G49" s="62"/>
      <c r="H49" s="62"/>
      <c r="I49" s="62"/>
      <c r="J49" s="62"/>
      <c r="K49" s="62"/>
      <c r="L49" s="62"/>
      <c r="N49" s="62"/>
      <c r="O49" s="62"/>
      <c r="P49" s="62"/>
      <c r="Q49" s="62"/>
      <c r="R49" s="62"/>
      <c r="S49" s="62"/>
      <c r="U49" s="62"/>
      <c r="V49" s="62"/>
    </row>
    <row r="50" spans="2:22" x14ac:dyDescent="0.3">
      <c r="B50" s="62"/>
      <c r="C50" s="62"/>
      <c r="D50" s="62"/>
      <c r="E50" s="62"/>
      <c r="G50" s="62"/>
      <c r="H50" s="62"/>
      <c r="I50" s="62"/>
      <c r="J50" s="62"/>
      <c r="K50" s="62"/>
      <c r="L50" s="62"/>
      <c r="N50" s="62"/>
      <c r="O50" s="62"/>
      <c r="P50" s="62"/>
      <c r="Q50" s="62"/>
      <c r="R50" s="62"/>
      <c r="S50" s="62"/>
      <c r="U50" s="62"/>
      <c r="V50" s="62"/>
    </row>
    <row r="51" spans="2:22" x14ac:dyDescent="0.3">
      <c r="B51" s="62"/>
      <c r="C51" s="62"/>
      <c r="D51" s="62"/>
      <c r="E51" s="62"/>
      <c r="G51" s="62"/>
      <c r="H51" s="62"/>
      <c r="I51" s="62"/>
      <c r="J51" s="62"/>
      <c r="K51" s="62"/>
      <c r="L51" s="62"/>
      <c r="N51" s="62"/>
      <c r="O51" s="62"/>
      <c r="P51" s="62"/>
      <c r="Q51" s="62"/>
      <c r="R51" s="62"/>
      <c r="S51" s="62"/>
      <c r="U51" s="62"/>
      <c r="V51" s="62"/>
    </row>
    <row r="52" spans="2:22" x14ac:dyDescent="0.3">
      <c r="B52" s="62"/>
      <c r="C52" s="62"/>
      <c r="D52" s="62"/>
      <c r="E52" s="62"/>
      <c r="G52" s="62"/>
      <c r="H52" s="62"/>
      <c r="I52" s="62"/>
      <c r="J52" s="62"/>
      <c r="K52" s="62"/>
      <c r="L52" s="62"/>
      <c r="N52" s="62"/>
      <c r="O52" s="62"/>
      <c r="P52" s="62"/>
      <c r="Q52" s="62"/>
      <c r="R52" s="62"/>
      <c r="S52" s="62"/>
      <c r="U52" s="62"/>
      <c r="V52" s="62"/>
    </row>
    <row r="53" spans="2:22" x14ac:dyDescent="0.3">
      <c r="B53" s="62"/>
      <c r="C53" s="62"/>
      <c r="D53" s="62"/>
      <c r="E53" s="62"/>
      <c r="G53" s="62"/>
      <c r="H53" s="62"/>
      <c r="I53" s="62"/>
      <c r="J53" s="62"/>
      <c r="K53" s="62"/>
      <c r="L53" s="62"/>
      <c r="N53" s="62"/>
      <c r="O53" s="62"/>
      <c r="P53" s="62"/>
      <c r="Q53" s="62"/>
      <c r="R53" s="62"/>
      <c r="S53" s="62"/>
      <c r="U53" s="62"/>
      <c r="V53" s="62"/>
    </row>
    <row r="54" spans="2:22" x14ac:dyDescent="0.3">
      <c r="B54" s="62"/>
      <c r="C54" s="62"/>
      <c r="D54" s="62"/>
      <c r="E54" s="62"/>
      <c r="G54" s="62"/>
      <c r="H54" s="62"/>
      <c r="I54" s="62"/>
      <c r="J54" s="62"/>
      <c r="K54" s="62"/>
      <c r="L54" s="62"/>
      <c r="N54" s="62"/>
      <c r="O54" s="62"/>
      <c r="P54" s="62"/>
      <c r="Q54" s="62"/>
      <c r="R54" s="62"/>
      <c r="S54" s="62"/>
      <c r="U54" s="62"/>
      <c r="V54" s="62"/>
    </row>
    <row r="55" spans="2:22" x14ac:dyDescent="0.3">
      <c r="B55" s="62"/>
      <c r="C55" s="62"/>
      <c r="D55" s="62"/>
      <c r="E55" s="62"/>
      <c r="G55" s="62"/>
      <c r="H55" s="62"/>
      <c r="I55" s="62"/>
      <c r="J55" s="62"/>
      <c r="K55" s="62"/>
      <c r="L55" s="62"/>
      <c r="N55" s="62"/>
      <c r="O55" s="62"/>
      <c r="P55" s="62"/>
      <c r="Q55" s="62"/>
      <c r="R55" s="62"/>
      <c r="S55" s="62"/>
      <c r="U55" s="62"/>
      <c r="V55" s="62"/>
    </row>
    <row r="56" spans="2:22" x14ac:dyDescent="0.3">
      <c r="B56" s="62"/>
      <c r="C56" s="62"/>
      <c r="D56" s="62"/>
      <c r="E56" s="62"/>
      <c r="G56" s="62"/>
      <c r="H56" s="62"/>
      <c r="I56" s="62"/>
      <c r="J56" s="62"/>
      <c r="K56" s="62"/>
      <c r="L56" s="62"/>
      <c r="N56" s="62"/>
      <c r="O56" s="62"/>
      <c r="P56" s="62"/>
      <c r="Q56" s="62"/>
      <c r="R56" s="62"/>
      <c r="S56" s="62"/>
      <c r="U56" s="62"/>
      <c r="V56" s="62"/>
    </row>
    <row r="57" spans="2:22" x14ac:dyDescent="0.3">
      <c r="B57" s="62"/>
      <c r="C57" s="62"/>
      <c r="D57" s="62"/>
      <c r="E57" s="62"/>
      <c r="G57" s="62"/>
      <c r="H57" s="62"/>
      <c r="I57" s="62"/>
      <c r="J57" s="62"/>
      <c r="K57" s="62"/>
      <c r="L57" s="62"/>
      <c r="N57" s="62"/>
      <c r="O57" s="62"/>
      <c r="P57" s="62"/>
      <c r="Q57" s="62"/>
      <c r="R57" s="62"/>
      <c r="S57" s="62"/>
      <c r="U57" s="62"/>
      <c r="V57" s="62"/>
    </row>
    <row r="58" spans="2:22" x14ac:dyDescent="0.3">
      <c r="B58" s="62"/>
      <c r="C58" s="62"/>
      <c r="D58" s="62"/>
      <c r="E58" s="62"/>
      <c r="G58" s="62"/>
      <c r="H58" s="62"/>
      <c r="I58" s="62"/>
      <c r="J58" s="62"/>
      <c r="K58" s="62"/>
      <c r="L58" s="62"/>
      <c r="N58" s="62"/>
      <c r="O58" s="62"/>
      <c r="P58" s="62"/>
      <c r="Q58" s="62"/>
      <c r="R58" s="62"/>
      <c r="S58" s="62"/>
      <c r="U58" s="62"/>
      <c r="V58" s="62"/>
    </row>
    <row r="59" spans="2:22" x14ac:dyDescent="0.3">
      <c r="B59" s="62"/>
      <c r="C59" s="62"/>
      <c r="D59" s="62"/>
      <c r="E59" s="62"/>
      <c r="G59" s="62"/>
      <c r="H59" s="62"/>
      <c r="I59" s="62"/>
      <c r="J59" s="62"/>
      <c r="K59" s="62"/>
      <c r="L59" s="62"/>
      <c r="N59" s="62"/>
      <c r="O59" s="62"/>
      <c r="P59" s="62"/>
      <c r="Q59" s="62"/>
      <c r="R59" s="62"/>
      <c r="S59" s="62"/>
      <c r="U59" s="62"/>
      <c r="V59" s="62"/>
    </row>
    <row r="60" spans="2:22" x14ac:dyDescent="0.3">
      <c r="B60" s="62"/>
      <c r="C60" s="62"/>
      <c r="D60" s="62"/>
      <c r="E60" s="62"/>
      <c r="G60" s="62"/>
      <c r="H60" s="62"/>
      <c r="I60" s="62"/>
      <c r="J60" s="62"/>
      <c r="K60" s="62"/>
      <c r="L60" s="62"/>
      <c r="N60" s="62"/>
      <c r="O60" s="62"/>
      <c r="P60" s="62"/>
      <c r="Q60" s="62"/>
      <c r="R60" s="62"/>
      <c r="S60" s="62"/>
      <c r="U60" s="62"/>
      <c r="V60" s="62"/>
    </row>
    <row r="61" spans="2:22" x14ac:dyDescent="0.3">
      <c r="B61" s="62"/>
      <c r="C61" s="62"/>
      <c r="D61" s="62"/>
      <c r="E61" s="62"/>
      <c r="G61" s="62"/>
      <c r="H61" s="62"/>
      <c r="I61" s="62"/>
      <c r="J61" s="62"/>
      <c r="K61" s="62"/>
      <c r="L61" s="62"/>
      <c r="N61" s="62"/>
      <c r="O61" s="62"/>
      <c r="P61" s="62"/>
      <c r="Q61" s="62"/>
      <c r="R61" s="62"/>
      <c r="S61" s="62"/>
      <c r="U61" s="62"/>
      <c r="V61" s="62"/>
    </row>
    <row r="62" spans="2:22" x14ac:dyDescent="0.3">
      <c r="B62" s="62"/>
      <c r="C62" s="62"/>
      <c r="D62" s="62"/>
      <c r="E62" s="62"/>
      <c r="G62" s="62"/>
      <c r="H62" s="62"/>
      <c r="I62" s="62"/>
      <c r="J62" s="62"/>
      <c r="K62" s="62"/>
      <c r="L62" s="62"/>
      <c r="N62" s="62"/>
      <c r="O62" s="62"/>
      <c r="P62" s="62"/>
      <c r="Q62" s="62"/>
      <c r="R62" s="62"/>
      <c r="S62" s="62"/>
      <c r="U62" s="62"/>
      <c r="V62" s="62"/>
    </row>
    <row r="63" spans="2:22" x14ac:dyDescent="0.3">
      <c r="B63" s="62"/>
      <c r="C63" s="62"/>
      <c r="D63" s="62"/>
      <c r="E63" s="62"/>
      <c r="G63" s="62"/>
      <c r="H63" s="62"/>
      <c r="I63" s="62"/>
      <c r="J63" s="62"/>
      <c r="K63" s="62"/>
      <c r="L63" s="62"/>
      <c r="N63" s="62"/>
      <c r="O63" s="62"/>
      <c r="P63" s="62"/>
      <c r="Q63" s="62"/>
      <c r="R63" s="62"/>
      <c r="S63" s="62"/>
      <c r="U63" s="62"/>
      <c r="V63" s="62"/>
    </row>
    <row r="64" spans="2:22" x14ac:dyDescent="0.3">
      <c r="B64" s="62"/>
      <c r="C64" s="62"/>
      <c r="D64" s="62"/>
      <c r="E64" s="62"/>
      <c r="G64" s="62"/>
      <c r="H64" s="62"/>
      <c r="I64" s="62"/>
      <c r="J64" s="62"/>
      <c r="K64" s="62"/>
      <c r="L64" s="62"/>
      <c r="N64" s="62"/>
      <c r="O64" s="62"/>
      <c r="P64" s="62"/>
      <c r="Q64" s="62"/>
      <c r="R64" s="62"/>
      <c r="S64" s="62"/>
      <c r="U64" s="62"/>
      <c r="V64" s="62"/>
    </row>
    <row r="65" spans="2:22" x14ac:dyDescent="0.3">
      <c r="B65" s="62"/>
      <c r="C65" s="62"/>
      <c r="D65" s="62"/>
      <c r="E65" s="62"/>
      <c r="G65" s="62"/>
      <c r="H65" s="62"/>
      <c r="I65" s="62"/>
      <c r="J65" s="62"/>
      <c r="K65" s="62"/>
      <c r="L65" s="62"/>
      <c r="N65" s="62"/>
      <c r="O65" s="62"/>
      <c r="P65" s="62"/>
      <c r="Q65" s="62"/>
      <c r="R65" s="62"/>
      <c r="S65" s="62"/>
      <c r="U65" s="62"/>
      <c r="V65" s="62"/>
    </row>
    <row r="66" spans="2:22" x14ac:dyDescent="0.3">
      <c r="B66" s="62"/>
      <c r="C66" s="62"/>
      <c r="D66" s="62"/>
      <c r="E66" s="62"/>
      <c r="G66" s="62"/>
      <c r="H66" s="62"/>
      <c r="I66" s="62"/>
      <c r="J66" s="62"/>
      <c r="K66" s="62"/>
      <c r="L66" s="62"/>
      <c r="N66" s="62"/>
      <c r="O66" s="62"/>
      <c r="P66" s="62"/>
      <c r="Q66" s="62"/>
      <c r="R66" s="62"/>
      <c r="S66" s="62"/>
      <c r="U66" s="62"/>
      <c r="V66" s="62"/>
    </row>
    <row r="67" spans="2:22" x14ac:dyDescent="0.3">
      <c r="B67" s="62"/>
      <c r="C67" s="62"/>
      <c r="D67" s="62"/>
      <c r="E67" s="62"/>
      <c r="G67" s="62"/>
      <c r="H67" s="62"/>
      <c r="I67" s="62"/>
      <c r="J67" s="62"/>
      <c r="K67" s="62"/>
      <c r="L67" s="62"/>
      <c r="N67" s="62"/>
      <c r="O67" s="62"/>
      <c r="P67" s="62"/>
      <c r="Q67" s="62"/>
      <c r="R67" s="62"/>
      <c r="S67" s="62"/>
      <c r="U67" s="62"/>
      <c r="V67" s="62"/>
    </row>
    <row r="68" spans="2:22" x14ac:dyDescent="0.3">
      <c r="B68" s="62"/>
      <c r="C68" s="62"/>
      <c r="D68" s="62"/>
      <c r="E68" s="62"/>
      <c r="G68" s="62"/>
      <c r="H68" s="62"/>
      <c r="I68" s="62"/>
      <c r="J68" s="62"/>
      <c r="K68" s="62"/>
      <c r="L68" s="62"/>
      <c r="N68" s="62"/>
      <c r="O68" s="62"/>
      <c r="P68" s="62"/>
      <c r="Q68" s="62"/>
      <c r="R68" s="62"/>
      <c r="S68" s="62"/>
      <c r="U68" s="62"/>
      <c r="V68" s="62"/>
    </row>
    <row r="69" spans="2:22" x14ac:dyDescent="0.3">
      <c r="B69" s="62"/>
      <c r="C69" s="62"/>
      <c r="D69" s="62"/>
      <c r="E69" s="62"/>
      <c r="G69" s="62"/>
      <c r="H69" s="62"/>
      <c r="I69" s="62"/>
      <c r="J69" s="62"/>
      <c r="K69" s="62"/>
      <c r="L69" s="62"/>
      <c r="N69" s="62"/>
      <c r="O69" s="62"/>
      <c r="P69" s="62"/>
      <c r="Q69" s="62"/>
      <c r="R69" s="62"/>
      <c r="S69" s="62"/>
      <c r="U69" s="62"/>
      <c r="V69" s="62"/>
    </row>
    <row r="70" spans="2:22" x14ac:dyDescent="0.3">
      <c r="B70" s="62"/>
    </row>
    <row r="71" spans="2:22" x14ac:dyDescent="0.3">
      <c r="B71" s="62"/>
    </row>
    <row r="72" spans="2:22" x14ac:dyDescent="0.3">
      <c r="B72" s="62"/>
    </row>
    <row r="73" spans="2:22" x14ac:dyDescent="0.3">
      <c r="B73" s="62"/>
    </row>
    <row r="74" spans="2:22" x14ac:dyDescent="0.3">
      <c r="B74" s="62"/>
    </row>
    <row r="75" spans="2:22" x14ac:dyDescent="0.3">
      <c r="B75" s="62"/>
    </row>
    <row r="76" spans="2:22" x14ac:dyDescent="0.3">
      <c r="B76" s="62"/>
    </row>
    <row r="77" spans="2:22" x14ac:dyDescent="0.3">
      <c r="B77" s="62"/>
    </row>
    <row r="78" spans="2:22" x14ac:dyDescent="0.3">
      <c r="B78" s="62"/>
    </row>
    <row r="79" spans="2:22" x14ac:dyDescent="0.3">
      <c r="B79" s="62"/>
    </row>
    <row r="80" spans="2:22" x14ac:dyDescent="0.3">
      <c r="B80" s="62"/>
    </row>
    <row r="81" spans="2:2" x14ac:dyDescent="0.3">
      <c r="B81" s="62"/>
    </row>
    <row r="82" spans="2:2" x14ac:dyDescent="0.3">
      <c r="B82" s="62"/>
    </row>
    <row r="83" spans="2:2" x14ac:dyDescent="0.3">
      <c r="B83" s="62"/>
    </row>
    <row r="84" spans="2:2" x14ac:dyDescent="0.3">
      <c r="B84" s="62"/>
    </row>
    <row r="85" spans="2:2" x14ac:dyDescent="0.3">
      <c r="B85" s="62"/>
    </row>
    <row r="86" spans="2:2" x14ac:dyDescent="0.3">
      <c r="B86" s="62"/>
    </row>
    <row r="87" spans="2:2" x14ac:dyDescent="0.3">
      <c r="B87" s="62"/>
    </row>
    <row r="88" spans="2:2" x14ac:dyDescent="0.3">
      <c r="B88" s="62"/>
    </row>
    <row r="89" spans="2:2" x14ac:dyDescent="0.3">
      <c r="B89" s="62"/>
    </row>
    <row r="90" spans="2:2" x14ac:dyDescent="0.3">
      <c r="B90" s="62"/>
    </row>
    <row r="91" spans="2:2" x14ac:dyDescent="0.3">
      <c r="B91" s="62"/>
    </row>
    <row r="92" spans="2:2" x14ac:dyDescent="0.3">
      <c r="B92" s="62"/>
    </row>
    <row r="93" spans="2:2" x14ac:dyDescent="0.3">
      <c r="B93" s="62"/>
    </row>
    <row r="94" spans="2:2" x14ac:dyDescent="0.3">
      <c r="B94" s="62"/>
    </row>
    <row r="95" spans="2:2" x14ac:dyDescent="0.3">
      <c r="B95" s="62"/>
    </row>
    <row r="96" spans="2:2" x14ac:dyDescent="0.3">
      <c r="B96" s="62"/>
    </row>
    <row r="97" spans="2:2" x14ac:dyDescent="0.3">
      <c r="B97" s="62"/>
    </row>
    <row r="98" spans="2:2" x14ac:dyDescent="0.3">
      <c r="B98" s="62"/>
    </row>
    <row r="99" spans="2:2" x14ac:dyDescent="0.3">
      <c r="B99" s="62"/>
    </row>
    <row r="100" spans="2:2" x14ac:dyDescent="0.3">
      <c r="B100" s="62"/>
    </row>
    <row r="101" spans="2:2" x14ac:dyDescent="0.3">
      <c r="B101" s="62"/>
    </row>
    <row r="102" spans="2:2" x14ac:dyDescent="0.3">
      <c r="B102" s="62"/>
    </row>
    <row r="103" spans="2:2" x14ac:dyDescent="0.3">
      <c r="B103" s="62"/>
    </row>
    <row r="104" spans="2:2" x14ac:dyDescent="0.3">
      <c r="B104" s="62"/>
    </row>
    <row r="105" spans="2:2" x14ac:dyDescent="0.3">
      <c r="B105" s="62"/>
    </row>
    <row r="106" spans="2:2" x14ac:dyDescent="0.3">
      <c r="B106" s="62"/>
    </row>
    <row r="107" spans="2:2" x14ac:dyDescent="0.3">
      <c r="B107" s="62"/>
    </row>
    <row r="108" spans="2:2" x14ac:dyDescent="0.3">
      <c r="B108" s="62"/>
    </row>
  </sheetData>
  <mergeCells count="5">
    <mergeCell ref="K4:M5"/>
    <mergeCell ref="R4:T5"/>
    <mergeCell ref="A1:D1"/>
    <mergeCell ref="A4:A5"/>
    <mergeCell ref="D4:F5"/>
  </mergeCells>
  <conditionalFormatting sqref="E6:E34">
    <cfRule type="expression" dxfId="29" priority="22">
      <formula>C6=B6</formula>
    </cfRule>
    <cfRule type="expression" dxfId="28" priority="23">
      <formula>C6&lt;B6</formula>
    </cfRule>
    <cfRule type="expression" dxfId="27" priority="24">
      <formula>C6&gt;B6</formula>
    </cfRule>
  </conditionalFormatting>
  <conditionalFormatting sqref="F31">
    <cfRule type="containsErrors" dxfId="26" priority="25">
      <formula>ISERROR(F31)</formula>
    </cfRule>
  </conditionalFormatting>
  <conditionalFormatting sqref="L6:L34">
    <cfRule type="expression" dxfId="25" priority="4">
      <formula>J6=I6</formula>
    </cfRule>
    <cfRule type="expression" dxfId="24" priority="5">
      <formula>J6&lt;I6</formula>
    </cfRule>
    <cfRule type="expression" dxfId="23" priority="6">
      <formula>J6&gt;I6</formula>
    </cfRule>
  </conditionalFormatting>
  <conditionalFormatting sqref="M31">
    <cfRule type="containsErrors" dxfId="22" priority="26">
      <formula>ISERROR(M31)</formula>
    </cfRule>
  </conditionalFormatting>
  <conditionalFormatting sqref="S6:S34">
    <cfRule type="expression" dxfId="21" priority="1">
      <formula>Q6=P6</formula>
    </cfRule>
    <cfRule type="expression" dxfId="20" priority="2">
      <formula>Q6&lt;P6</formula>
    </cfRule>
    <cfRule type="expression" dxfId="19" priority="3">
      <formula>Q6&gt;P6</formula>
    </cfRule>
  </conditionalFormatting>
  <conditionalFormatting sqref="T31">
    <cfRule type="containsErrors" dxfId="18" priority="29">
      <formula>ISERROR(T31)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96"/>
  <sheetViews>
    <sheetView showGridLines="0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4" sqref="P14"/>
    </sheetView>
  </sheetViews>
  <sheetFormatPr defaultColWidth="9.109375" defaultRowHeight="14.4" x14ac:dyDescent="0.3"/>
  <cols>
    <col min="1" max="1" width="3.6640625" style="47" customWidth="1"/>
    <col min="2" max="2" width="60.109375" style="47" customWidth="1"/>
    <col min="3" max="5" width="13.88671875" style="47" bestFit="1" customWidth="1"/>
    <col min="6" max="6" width="2.88671875" style="47" customWidth="1"/>
    <col min="7" max="7" width="13.109375" style="47" bestFit="1" customWidth="1"/>
    <col min="8" max="8" width="7.5546875" style="47" bestFit="1" customWidth="1"/>
    <col min="9" max="9" width="1.5546875" style="47" customWidth="1"/>
    <col min="10" max="10" width="9" style="47" bestFit="1" customWidth="1"/>
    <col min="11" max="11" width="8.88671875" style="27" bestFit="1" customWidth="1"/>
    <col min="12" max="12" width="7.77734375" style="47" bestFit="1" customWidth="1"/>
    <col min="13" max="13" width="4.33203125" style="47" customWidth="1"/>
    <col min="14" max="16384" width="9.109375" style="47"/>
  </cols>
  <sheetData>
    <row r="1" spans="2:11" x14ac:dyDescent="0.3">
      <c r="B1" s="163" t="s">
        <v>282</v>
      </c>
    </row>
    <row r="2" spans="2:11" ht="15" thickBot="1" x14ac:dyDescent="0.35">
      <c r="B2" s="7"/>
      <c r="C2" s="61"/>
      <c r="D2" s="61"/>
      <c r="E2" s="61"/>
      <c r="F2" s="9"/>
      <c r="G2" s="10"/>
      <c r="H2" s="9"/>
    </row>
    <row r="3" spans="2:11" s="75" customFormat="1" ht="18" customHeight="1" thickBot="1" x14ac:dyDescent="0.35">
      <c r="B3" s="170"/>
      <c r="C3" s="171" t="s">
        <v>279</v>
      </c>
      <c r="D3" s="171" t="s">
        <v>280</v>
      </c>
      <c r="E3" s="171" t="s">
        <v>281</v>
      </c>
      <c r="F3" s="227" t="str">
        <f>CONCATENATE(Data_Interim!J3," vs. ",Data_Interim!I3)</f>
        <v>2023 vs. 2022</v>
      </c>
      <c r="G3" s="227"/>
      <c r="H3" s="227"/>
      <c r="K3" s="151"/>
    </row>
    <row r="4" spans="2:11" x14ac:dyDescent="0.3">
      <c r="B4" s="12" t="s">
        <v>168</v>
      </c>
      <c r="C4" s="12">
        <f>SUMIF(Data_Interim!$B:$B,$B4,Data_Interim!H:H)</f>
        <v>123293002</v>
      </c>
      <c r="D4" s="12">
        <f>SUMIF(Data_Interim!$B:$B,$B4,Data_Interim!I:I)</f>
        <v>134652067</v>
      </c>
      <c r="E4" s="12">
        <f>SUMIF(Data_Interim!$B:$B,$B4,Data_Interim!J:J)</f>
        <v>112276281</v>
      </c>
      <c r="F4" s="8" t="str">
        <f>IF(E4+D4&gt;0,IF(E4&gt;D4,"▲",IF(E4=D4,"▬","▼")),IF(E4&gt;D4,"▼",IF(E4=D4,"▬","▲")))</f>
        <v>▼</v>
      </c>
      <c r="G4" s="12">
        <f>E4-D4</f>
        <v>-22375786</v>
      </c>
      <c r="H4" s="13">
        <f>E4/D4-1</f>
        <v>-0.16617484230672819</v>
      </c>
    </row>
    <row r="5" spans="2:11" x14ac:dyDescent="0.3">
      <c r="B5" s="152" t="s">
        <v>37</v>
      </c>
      <c r="C5" s="14">
        <f>SUMIF(Data_Interim!$B:$B,$B5,Data_Interim!H:H)</f>
        <v>2223429</v>
      </c>
      <c r="D5" s="14">
        <f>SUMIF(Data_Interim!$B:$B,$B5,Data_Interim!I:I)</f>
        <v>2254827</v>
      </c>
      <c r="E5" s="14">
        <f>SUMIF(Data_Interim!$B:$B,$B5,Data_Interim!J:J)</f>
        <v>2141875</v>
      </c>
      <c r="F5" s="8" t="str">
        <f t="shared" ref="F5:F17" si="0">IF(E5+D5&gt;0,IF(E5&gt;D5,"▲",IF(E5=D5,"▬","▼")),IF(E5&gt;D5,"▼",IF(E5=D5,"▬","▲")))</f>
        <v>▼</v>
      </c>
      <c r="G5" s="14">
        <f t="shared" ref="G5:G17" si="1">E5-D5</f>
        <v>-112952</v>
      </c>
      <c r="H5" s="13">
        <f t="shared" ref="H5:H17" si="2">E5/D5-1</f>
        <v>-5.0093421801317817E-2</v>
      </c>
    </row>
    <row r="6" spans="2:11" x14ac:dyDescent="0.3">
      <c r="B6" s="152" t="s">
        <v>170</v>
      </c>
      <c r="C6" s="14">
        <f>SUMIF(Data_Interim!$B:$B,$B6,Data_Interim!H:H)</f>
        <v>2132771</v>
      </c>
      <c r="D6" s="14">
        <f>SUMIF(Data_Interim!$B:$B,$B6,Data_Interim!I:I)</f>
        <v>3871197</v>
      </c>
      <c r="E6" s="14">
        <f>SUMIF(Data_Interim!$B:$B,$B6,Data_Interim!J:J)</f>
        <v>164490</v>
      </c>
      <c r="F6" s="8" t="str">
        <f t="shared" si="0"/>
        <v>▼</v>
      </c>
      <c r="G6" s="14">
        <f t="shared" si="1"/>
        <v>-3706707</v>
      </c>
      <c r="H6" s="13">
        <f t="shared" si="2"/>
        <v>-0.95750926651369073</v>
      </c>
    </row>
    <row r="7" spans="2:11" x14ac:dyDescent="0.3">
      <c r="B7" s="152" t="s">
        <v>172</v>
      </c>
      <c r="C7" s="14">
        <f>SUMIF(Data_Interim!$B:$B,$B7,Data_Interim!H:H)</f>
        <v>-89702894</v>
      </c>
      <c r="D7" s="14">
        <f>SUMIF(Data_Interim!$B:$B,$B7,Data_Interim!I:I)</f>
        <v>-101857503</v>
      </c>
      <c r="E7" s="14">
        <f>SUMIF(Data_Interim!$B:$B,$B7,Data_Interim!J:J)</f>
        <v>-79008710</v>
      </c>
      <c r="F7" s="8" t="str">
        <f t="shared" si="0"/>
        <v>▼</v>
      </c>
      <c r="G7" s="14">
        <f t="shared" si="1"/>
        <v>22848793</v>
      </c>
      <c r="H7" s="13">
        <f t="shared" si="2"/>
        <v>-0.22432115776488259</v>
      </c>
    </row>
    <row r="8" spans="2:11" x14ac:dyDescent="0.3">
      <c r="B8" s="152" t="s">
        <v>173</v>
      </c>
      <c r="C8" s="14">
        <f>SUMIF(Data_Interim!$B:$B,$B8,Data_Interim!H:H)</f>
        <v>-20488805</v>
      </c>
      <c r="D8" s="14">
        <f>SUMIF(Data_Interim!$B:$B,$B8,Data_Interim!I:I)</f>
        <v>-20950089</v>
      </c>
      <c r="E8" s="14">
        <f>SUMIF(Data_Interim!$B:$B,$B8,Data_Interim!J:J)</f>
        <v>-22472144</v>
      </c>
      <c r="F8" s="8" t="str">
        <f t="shared" si="0"/>
        <v>▲</v>
      </c>
      <c r="G8" s="14">
        <f t="shared" si="1"/>
        <v>-1522055</v>
      </c>
      <c r="H8" s="13">
        <f t="shared" si="2"/>
        <v>7.2651481337382418E-2</v>
      </c>
    </row>
    <row r="9" spans="2:11" x14ac:dyDescent="0.3">
      <c r="B9" s="152" t="s">
        <v>174</v>
      </c>
      <c r="C9" s="14">
        <f>SUMIF(Data_Interim!$B:$B,$B9,Data_Interim!H:H)</f>
        <v>-4999169</v>
      </c>
      <c r="D9" s="14">
        <f>SUMIF(Data_Interim!$B:$B,$B9,Data_Interim!I:I)</f>
        <v>-4904747</v>
      </c>
      <c r="E9" s="14">
        <f>SUMIF(Data_Interim!$B:$B,$B9,Data_Interim!J:J)</f>
        <v>-4745999</v>
      </c>
      <c r="F9" s="8" t="str">
        <f t="shared" si="0"/>
        <v>▼</v>
      </c>
      <c r="G9" s="14">
        <f t="shared" si="1"/>
        <v>158748</v>
      </c>
      <c r="H9" s="13">
        <f t="shared" si="2"/>
        <v>-3.2366195442904644E-2</v>
      </c>
    </row>
    <row r="10" spans="2:11" x14ac:dyDescent="0.3">
      <c r="B10" s="152" t="s">
        <v>175</v>
      </c>
      <c r="C10" s="14">
        <f>SUMIF(Data_Interim!$B:$B,$B10,Data_Interim!H:H)</f>
        <v>-7887790</v>
      </c>
      <c r="D10" s="14">
        <f>SUMIF(Data_Interim!$B:$B,$B10,Data_Interim!I:I)</f>
        <v>-7862018</v>
      </c>
      <c r="E10" s="14">
        <f>SUMIF(Data_Interim!$B:$B,$B10,Data_Interim!J:J)</f>
        <v>-8190697</v>
      </c>
      <c r="F10" s="8" t="str">
        <f t="shared" si="0"/>
        <v>▲</v>
      </c>
      <c r="G10" s="14">
        <f t="shared" si="1"/>
        <v>-328679</v>
      </c>
      <c r="H10" s="13">
        <f t="shared" si="2"/>
        <v>4.180593328583071E-2</v>
      </c>
    </row>
    <row r="11" spans="2:11" ht="15" thickBot="1" x14ac:dyDescent="0.35">
      <c r="B11" s="152" t="s">
        <v>176</v>
      </c>
      <c r="C11" s="14">
        <f>SUMIF(Data_Interim!$B:$B,$B11,Data_Interim!H:H)</f>
        <v>196974</v>
      </c>
      <c r="D11" s="14">
        <f>SUMIF(Data_Interim!$B:$B,$B11,Data_Interim!I:I)</f>
        <v>89074</v>
      </c>
      <c r="E11" s="14">
        <f>SUMIF(Data_Interim!$B:$B,$B11,Data_Interim!J:J)</f>
        <v>4044277</v>
      </c>
      <c r="F11" s="8" t="str">
        <f t="shared" si="0"/>
        <v>▲</v>
      </c>
      <c r="G11" s="14">
        <f t="shared" si="1"/>
        <v>3955203</v>
      </c>
      <c r="H11" s="13">
        <f t="shared" si="2"/>
        <v>44.403563329366591</v>
      </c>
    </row>
    <row r="12" spans="2:11" ht="15" thickBot="1" x14ac:dyDescent="0.35">
      <c r="B12" s="173" t="s">
        <v>177</v>
      </c>
      <c r="C12" s="174">
        <f t="shared" ref="C12:E12" si="3">SUM(C4:C11)</f>
        <v>4767518</v>
      </c>
      <c r="D12" s="174">
        <f t="shared" si="3"/>
        <v>5292808</v>
      </c>
      <c r="E12" s="174">
        <f t="shared" si="3"/>
        <v>4209373</v>
      </c>
      <c r="F12" s="175" t="str">
        <f t="shared" si="0"/>
        <v>▼</v>
      </c>
      <c r="G12" s="170">
        <f t="shared" si="1"/>
        <v>-1083435</v>
      </c>
      <c r="H12" s="176">
        <f t="shared" si="2"/>
        <v>-0.20469947143368894</v>
      </c>
    </row>
    <row r="13" spans="2:11" x14ac:dyDescent="0.3">
      <c r="B13" s="152" t="s">
        <v>179</v>
      </c>
      <c r="C13" s="14">
        <f>SUMIF(Data_Interim!$B:$B,$B13,Data_Interim!H:H)</f>
        <v>73323</v>
      </c>
      <c r="D13" s="14">
        <f>SUMIF(Data_Interim!$B:$B,$B13,Data_Interim!I:I)</f>
        <v>188357</v>
      </c>
      <c r="E13" s="14">
        <f>SUMIF(Data_Interim!$B:$B,$B13,Data_Interim!J:J)</f>
        <v>2845598</v>
      </c>
      <c r="F13" s="8" t="str">
        <f t="shared" si="0"/>
        <v>▲</v>
      </c>
      <c r="G13" s="14">
        <f t="shared" si="1"/>
        <v>2657241</v>
      </c>
      <c r="H13" s="13">
        <f t="shared" si="2"/>
        <v>14.107471450490292</v>
      </c>
    </row>
    <row r="14" spans="2:11" ht="15" thickBot="1" x14ac:dyDescent="0.35">
      <c r="B14" s="152" t="s">
        <v>181</v>
      </c>
      <c r="C14" s="14">
        <f>SUMIF(Data_Interim!$B:$B,$B14,Data_Interim!H:H)</f>
        <v>-1046125</v>
      </c>
      <c r="D14" s="14">
        <f>SUMIF(Data_Interim!$B:$B,$B14,Data_Interim!I:I)</f>
        <v>-703394</v>
      </c>
      <c r="E14" s="14">
        <f>SUMIF(Data_Interim!$B:$B,$B14,Data_Interim!J:J)</f>
        <v>-1059500</v>
      </c>
      <c r="F14" s="8" t="str">
        <f t="shared" si="0"/>
        <v>▲</v>
      </c>
      <c r="G14" s="14">
        <f t="shared" si="1"/>
        <v>-356106</v>
      </c>
      <c r="H14" s="13">
        <f t="shared" si="2"/>
        <v>0.50626817971151294</v>
      </c>
    </row>
    <row r="15" spans="2:11" ht="15" thickBot="1" x14ac:dyDescent="0.35">
      <c r="B15" s="170" t="s">
        <v>32</v>
      </c>
      <c r="C15" s="174">
        <f>SUM(C12:C14)</f>
        <v>3794716</v>
      </c>
      <c r="D15" s="174">
        <f>SUM(D12:D14)</f>
        <v>4777771</v>
      </c>
      <c r="E15" s="174">
        <f>SUM(E12:E14)</f>
        <v>5995471</v>
      </c>
      <c r="F15" s="177" t="str">
        <f t="shared" si="0"/>
        <v>▲</v>
      </c>
      <c r="G15" s="170">
        <f t="shared" si="1"/>
        <v>1217700</v>
      </c>
      <c r="H15" s="178">
        <f t="shared" si="2"/>
        <v>0.25486780341711657</v>
      </c>
    </row>
    <row r="16" spans="2:11" ht="15" thickBot="1" x14ac:dyDescent="0.35">
      <c r="B16" s="14" t="s">
        <v>33</v>
      </c>
      <c r="C16" s="14">
        <f>SUMIF(Data_Interim!$B:$B,$B16,Data_Interim!H:H)</f>
        <v>-523739</v>
      </c>
      <c r="D16" s="14">
        <f>SUMIF(Data_Interim!$B:$B,$B16,Data_Interim!I:I)</f>
        <v>-719096</v>
      </c>
      <c r="E16" s="14">
        <f>SUMIF(Data_Interim!$B:$B,$B16,Data_Interim!J:J)</f>
        <v>-774565</v>
      </c>
      <c r="F16" s="44" t="str">
        <f t="shared" si="0"/>
        <v>▲</v>
      </c>
      <c r="G16" s="14">
        <f t="shared" si="1"/>
        <v>-55469</v>
      </c>
      <c r="H16" s="13">
        <f>E16/D16-1</f>
        <v>7.713712772703496E-2</v>
      </c>
    </row>
    <row r="17" spans="2:17" ht="15" thickBot="1" x14ac:dyDescent="0.35">
      <c r="B17" s="170" t="s">
        <v>192</v>
      </c>
      <c r="C17" s="174">
        <f>C15+C16</f>
        <v>3270977</v>
      </c>
      <c r="D17" s="174">
        <f>D15+D16</f>
        <v>4058675</v>
      </c>
      <c r="E17" s="174">
        <f t="shared" ref="E17" si="4">E15+E16</f>
        <v>5220906</v>
      </c>
      <c r="F17" s="177" t="str">
        <f t="shared" si="0"/>
        <v>▲</v>
      </c>
      <c r="G17" s="170">
        <f t="shared" si="1"/>
        <v>1162231</v>
      </c>
      <c r="H17" s="178">
        <f t="shared" si="2"/>
        <v>0.28635724713114508</v>
      </c>
    </row>
    <row r="18" spans="2:17" ht="15" thickBot="1" x14ac:dyDescent="0.35">
      <c r="B18" s="170" t="s">
        <v>236</v>
      </c>
      <c r="C18" s="174">
        <f>C17</f>
        <v>3270977</v>
      </c>
      <c r="D18" s="174">
        <f t="shared" ref="D18:E18" si="5">D17</f>
        <v>4058675</v>
      </c>
      <c r="E18" s="174">
        <f t="shared" si="5"/>
        <v>5220906</v>
      </c>
      <c r="F18" s="177" t="str">
        <f t="shared" ref="F18" si="6">IF(E18+D18&gt;0,IF(E18&gt;D18,"▲",IF(E18=D18,"▬","▼")),IF(E18&gt;D18,"▼",IF(E18=D18,"▬","▲")))</f>
        <v>▲</v>
      </c>
      <c r="G18" s="170">
        <f t="shared" ref="G18" si="7">E18-D18</f>
        <v>1162231</v>
      </c>
      <c r="H18" s="178">
        <f t="shared" ref="H18" si="8">E18/D18-1</f>
        <v>0.28635724713114508</v>
      </c>
    </row>
    <row r="19" spans="2:17" x14ac:dyDescent="0.3">
      <c r="B19" s="17"/>
      <c r="C19" s="18"/>
      <c r="D19" s="18"/>
      <c r="E19" s="18"/>
      <c r="F19" s="8"/>
      <c r="G19" s="14"/>
      <c r="H19" s="13"/>
    </row>
    <row r="20" spans="2:17" ht="7.5" customHeight="1" x14ac:dyDescent="0.3"/>
    <row r="21" spans="2:17" ht="15.75" customHeight="1" x14ac:dyDescent="0.3">
      <c r="B21" s="86" t="s">
        <v>182</v>
      </c>
      <c r="J21" s="86" t="s">
        <v>183</v>
      </c>
      <c r="K21" s="86"/>
      <c r="L21" s="86"/>
    </row>
    <row r="22" spans="2:17" ht="6.75" customHeight="1" thickBot="1" x14ac:dyDescent="0.35"/>
    <row r="23" spans="2:17" s="75" customFormat="1" ht="15" thickBot="1" x14ac:dyDescent="0.35">
      <c r="B23" s="170"/>
      <c r="C23" s="171" t="str">
        <f>C3</f>
        <v>6 luni 2021</v>
      </c>
      <c r="D23" s="171" t="str">
        <f>D3</f>
        <v>6 luni 2022</v>
      </c>
      <c r="E23" s="171" t="str">
        <f>E3</f>
        <v>6 luni 2023</v>
      </c>
      <c r="F23" s="227" t="str">
        <f>CONCATENATE(Data_Interim!J3," vs. ",Data_Interim!I3)</f>
        <v>2023 vs. 2022</v>
      </c>
      <c r="G23" s="227"/>
      <c r="H23" s="227"/>
      <c r="J23" s="172">
        <f>Data_Interim!H3</f>
        <v>2021</v>
      </c>
      <c r="K23" s="172">
        <f>Data_Interim!I3</f>
        <v>2022</v>
      </c>
      <c r="L23" s="172">
        <f>Data_Interim!J3</f>
        <v>2023</v>
      </c>
      <c r="N23" s="47"/>
      <c r="O23" s="47"/>
      <c r="P23" s="47"/>
      <c r="Q23" s="47"/>
    </row>
    <row r="24" spans="2:17" s="69" customFormat="1" x14ac:dyDescent="0.3">
      <c r="B24" s="69" t="s">
        <v>99</v>
      </c>
      <c r="C24" s="71">
        <f>SUMIF(Data_Interim!$B:$B,$B24,Data_Interim!H:H)</f>
        <v>82929385</v>
      </c>
      <c r="D24" s="71">
        <f>SUMIF(Data_Interim!$B:$B,$B24,Data_Interim!I:I)</f>
        <v>95548711</v>
      </c>
      <c r="E24" s="71">
        <f>SUMIF(Data_Interim!$B:$B,$B24,Data_Interim!J:J)</f>
        <v>78492952.660000026</v>
      </c>
      <c r="F24" s="8" t="str">
        <f t="shared" ref="F24:F29" si="9">IF(E24+D24&gt;0,IF(E24&gt;D24,"▲",IF(E24=D24,"▬","▼")),IF(E24&gt;D24,"▼",IF(E24=D24,"▬","▲")))</f>
        <v>▼</v>
      </c>
      <c r="G24" s="12">
        <f t="shared" ref="G24:G29" si="10">E24-D24</f>
        <v>-17055758.339999974</v>
      </c>
      <c r="H24" s="13">
        <f t="shared" ref="H24:H29" si="11">E24/D24-1</f>
        <v>-0.1785032802797305</v>
      </c>
      <c r="I24" s="20"/>
      <c r="J24" s="72">
        <f t="shared" ref="J24:L28" si="12">C24/C$29</f>
        <v>0.67262037305247868</v>
      </c>
      <c r="K24" s="72">
        <f t="shared" si="12"/>
        <v>0.7095970609942438</v>
      </c>
      <c r="L24" s="73">
        <f t="shared" si="12"/>
        <v>0.69910538722499094</v>
      </c>
      <c r="N24" s="20"/>
      <c r="O24" s="20"/>
      <c r="P24" s="20"/>
      <c r="Q24" s="20"/>
    </row>
    <row r="25" spans="2:17" s="69" customFormat="1" x14ac:dyDescent="0.3">
      <c r="B25" s="69" t="s">
        <v>224</v>
      </c>
      <c r="C25" s="8">
        <f>SUMIF(Data_Interim!$B:$B,$B25,Data_Interim!H:H)</f>
        <v>11536</v>
      </c>
      <c r="D25" s="8">
        <f>SUMIF(Data_Interim!$B:$B,$B25,Data_Interim!I:I)</f>
        <v>57676</v>
      </c>
      <c r="E25" s="8">
        <f>SUMIF(Data_Interim!$B:$B,$B25,Data_Interim!J:J)</f>
        <v>726.5</v>
      </c>
      <c r="F25" s="8" t="str">
        <f t="shared" si="9"/>
        <v>▼</v>
      </c>
      <c r="G25" s="12">
        <f t="shared" si="10"/>
        <v>-56949.5</v>
      </c>
      <c r="H25" s="13">
        <f>E25/D25-1</f>
        <v>-0.98740377279977809</v>
      </c>
      <c r="I25" s="20"/>
      <c r="J25" s="73">
        <f t="shared" si="12"/>
        <v>9.3565732141066688E-5</v>
      </c>
      <c r="K25" s="73">
        <f t="shared" si="12"/>
        <v>4.283335657966543E-4</v>
      </c>
      <c r="L25" s="73">
        <f t="shared" si="12"/>
        <v>6.4706454096455664E-6</v>
      </c>
      <c r="N25" s="20"/>
      <c r="O25" s="20"/>
      <c r="P25" s="20"/>
      <c r="Q25" s="20"/>
    </row>
    <row r="26" spans="2:17" s="69" customFormat="1" x14ac:dyDescent="0.3">
      <c r="B26" s="69" t="s">
        <v>38</v>
      </c>
      <c r="C26" s="8">
        <f>SUMIF(Data_Interim!$B:$B,$B26,Data_Interim!H:H)</f>
        <v>245210</v>
      </c>
      <c r="D26" s="8">
        <f>SUMIF(Data_Interim!$B:$B,$B26,Data_Interim!I:I)</f>
        <v>403383</v>
      </c>
      <c r="E26" s="8">
        <f>SUMIF(Data_Interim!$B:$B,$B26,Data_Interim!J:J)</f>
        <v>268912.13</v>
      </c>
      <c r="F26" s="8" t="str">
        <f t="shared" si="9"/>
        <v>▼</v>
      </c>
      <c r="G26" s="12">
        <f t="shared" si="10"/>
        <v>-134470.87</v>
      </c>
      <c r="H26" s="13">
        <f t="shared" si="11"/>
        <v>-0.33335780139470428</v>
      </c>
      <c r="I26" s="20"/>
      <c r="J26" s="73">
        <f t="shared" si="12"/>
        <v>1.9888395612266785E-3</v>
      </c>
      <c r="K26" s="73">
        <f t="shared" si="12"/>
        <v>2.9957430954253381E-3</v>
      </c>
      <c r="L26" s="73">
        <f t="shared" si="12"/>
        <v>2.3950929657020124E-3</v>
      </c>
      <c r="N26" s="20"/>
      <c r="O26" s="20"/>
      <c r="P26" s="20"/>
      <c r="Q26" s="20"/>
    </row>
    <row r="27" spans="2:17" s="69" customFormat="1" x14ac:dyDescent="0.3">
      <c r="B27" s="69" t="s">
        <v>39</v>
      </c>
      <c r="C27" s="8">
        <f>SUMIF(Data_Interim!$B:$B,$B27,Data_Interim!H:H)</f>
        <v>37592779</v>
      </c>
      <c r="D27" s="8">
        <f>SUMIF(Data_Interim!$B:$B,$B27,Data_Interim!I:I)</f>
        <v>34874238</v>
      </c>
      <c r="E27" s="8">
        <f>SUMIF(Data_Interim!$B:$B,$B27,Data_Interim!J:J)</f>
        <v>29796197.16</v>
      </c>
      <c r="F27" s="8" t="str">
        <f t="shared" si="9"/>
        <v>▼</v>
      </c>
      <c r="G27" s="12">
        <f t="shared" si="10"/>
        <v>-5078040.84</v>
      </c>
      <c r="H27" s="13">
        <f t="shared" si="11"/>
        <v>-0.14561008730857428</v>
      </c>
      <c r="I27" s="20"/>
      <c r="J27" s="73">
        <f t="shared" si="12"/>
        <v>0.30490602378227438</v>
      </c>
      <c r="K27" s="73">
        <f t="shared" si="12"/>
        <v>0.25899519240205943</v>
      </c>
      <c r="L27" s="73">
        <f t="shared" si="12"/>
        <v>0.26538283052752687</v>
      </c>
      <c r="N27" s="20"/>
      <c r="O27" s="20"/>
      <c r="P27" s="20"/>
      <c r="Q27" s="20"/>
    </row>
    <row r="28" spans="2:17" s="69" customFormat="1" ht="15" thickBot="1" x14ac:dyDescent="0.35">
      <c r="B28" s="69" t="s">
        <v>40</v>
      </c>
      <c r="C28" s="8">
        <f>SUMIF(Data_Interim!$B:$B,$B28,Data_Interim!H:H)</f>
        <v>2514092</v>
      </c>
      <c r="D28" s="8">
        <f>SUMIF(Data_Interim!$B:$B,$B28,Data_Interim!I:I)</f>
        <v>3768059</v>
      </c>
      <c r="E28" s="8">
        <f>SUMIF(Data_Interim!$B:$B,$B28,Data_Interim!J:J)</f>
        <v>3717492.2000000011</v>
      </c>
      <c r="F28" s="8" t="str">
        <f t="shared" si="9"/>
        <v>▼</v>
      </c>
      <c r="G28" s="12">
        <f t="shared" si="10"/>
        <v>-50566.799999998882</v>
      </c>
      <c r="H28" s="13">
        <f t="shared" si="11"/>
        <v>-1.3419853563863771E-2</v>
      </c>
      <c r="I28" s="20"/>
      <c r="J28" s="73">
        <f t="shared" si="12"/>
        <v>2.0391197871879218E-2</v>
      </c>
      <c r="K28" s="73">
        <f t="shared" si="12"/>
        <v>2.7983669942474778E-2</v>
      </c>
      <c r="L28" s="73">
        <f t="shared" si="12"/>
        <v>3.311021863637055E-2</v>
      </c>
      <c r="N28" s="20"/>
      <c r="O28" s="20"/>
      <c r="P28" s="20"/>
      <c r="Q28" s="20"/>
    </row>
    <row r="29" spans="2:17" s="20" customFormat="1" ht="15" thickBot="1" x14ac:dyDescent="0.35">
      <c r="B29" s="11" t="s">
        <v>36</v>
      </c>
      <c r="C29" s="15">
        <f t="shared" ref="C29:E29" si="13">SUM(C24:C28)</f>
        <v>123293002</v>
      </c>
      <c r="D29" s="15">
        <f t="shared" si="13"/>
        <v>134652067</v>
      </c>
      <c r="E29" s="15">
        <f t="shared" si="13"/>
        <v>112276280.65000002</v>
      </c>
      <c r="F29" s="44" t="str">
        <f t="shared" si="9"/>
        <v>▼</v>
      </c>
      <c r="G29" s="35">
        <f t="shared" si="10"/>
        <v>-22375786.349999979</v>
      </c>
      <c r="H29" s="16">
        <f t="shared" si="11"/>
        <v>-0.16617484490601975</v>
      </c>
      <c r="J29" s="70">
        <f t="shared" ref="J29:L29" si="14">SUM(J24:J28)</f>
        <v>1</v>
      </c>
      <c r="K29" s="70">
        <f t="shared" si="14"/>
        <v>1</v>
      </c>
      <c r="L29" s="70">
        <f t="shared" si="14"/>
        <v>1</v>
      </c>
    </row>
    <row r="30" spans="2:17" s="19" customFormat="1" ht="15.75" customHeight="1" x14ac:dyDescent="0.3">
      <c r="B30" s="24"/>
      <c r="C30" s="153">
        <f>C29-C4</f>
        <v>0</v>
      </c>
      <c r="D30" s="153">
        <f>D29-D4</f>
        <v>0</v>
      </c>
      <c r="E30" s="153">
        <f>E29-E4</f>
        <v>-0.34999997913837433</v>
      </c>
      <c r="F30" s="45"/>
      <c r="G30" s="25"/>
      <c r="H30" s="26"/>
      <c r="K30" s="27"/>
      <c r="N30" s="47"/>
      <c r="O30" s="47"/>
      <c r="P30" s="47"/>
      <c r="Q30" s="47"/>
    </row>
    <row r="31" spans="2:17" x14ac:dyDescent="0.3">
      <c r="B31" s="87" t="s">
        <v>184</v>
      </c>
      <c r="H31" s="149"/>
    </row>
    <row r="32" spans="2:17" ht="15" thickBot="1" x14ac:dyDescent="0.35"/>
    <row r="33" spans="2:12" ht="15" thickBot="1" x14ac:dyDescent="0.35">
      <c r="B33" s="170" t="s">
        <v>0</v>
      </c>
      <c r="C33" s="171" t="str">
        <f>C3</f>
        <v>6 luni 2021</v>
      </c>
      <c r="D33" s="171" t="str">
        <f>D3</f>
        <v>6 luni 2022</v>
      </c>
      <c r="E33" s="171" t="str">
        <f>E3</f>
        <v>6 luni 2023</v>
      </c>
      <c r="F33" s="227" t="str">
        <f>F3</f>
        <v>2023 vs. 2022</v>
      </c>
      <c r="G33" s="227"/>
      <c r="H33" s="227"/>
    </row>
    <row r="34" spans="2:12" x14ac:dyDescent="0.3">
      <c r="B34" s="150" t="s">
        <v>34</v>
      </c>
      <c r="C34" s="8">
        <f>SUMIF(Data_Interim!$B:$B,$B34,Data_Interim!H:H)</f>
        <v>1093704</v>
      </c>
      <c r="D34" s="8">
        <f>SUMIF(Data_Interim!$B:$B,$B34,Data_Interim!I:I)</f>
        <v>1125102</v>
      </c>
      <c r="E34" s="8">
        <f>SUMIF(Data_Interim!$B:$B,$B34,Data_Interim!J:J)</f>
        <v>1084886</v>
      </c>
      <c r="F34" s="8" t="str">
        <f t="shared" ref="F34:F36" si="15">IF(E34+D34&gt;0,IF(E34&gt;D34,"▲",IF(E34=D34,"▬","▼")),IF(E34&gt;D34,"▼",IF(E34=D34,"▬","▲")))</f>
        <v>▼</v>
      </c>
      <c r="G34" s="21">
        <f t="shared" ref="G34:G36" si="16">E34-D34</f>
        <v>-40216</v>
      </c>
      <c r="H34" s="13">
        <f t="shared" ref="H34:H36" si="17">E34/D34-1</f>
        <v>-3.5744314737686023E-2</v>
      </c>
    </row>
    <row r="35" spans="2:12" ht="15" thickBot="1" x14ac:dyDescent="0.35">
      <c r="B35" s="150" t="s">
        <v>79</v>
      </c>
      <c r="C35" s="8">
        <f>SUMIF(Data_Interim!$B:$B,$B35,Data_Interim!H:H)</f>
        <v>1129725</v>
      </c>
      <c r="D35" s="8">
        <f>SUMIF(Data_Interim!$B:$B,$B35,Data_Interim!I:I)</f>
        <v>1129725</v>
      </c>
      <c r="E35" s="8">
        <f>SUMIF(Data_Interim!$B:$B,$B35,Data_Interim!J:J)</f>
        <v>1056989</v>
      </c>
      <c r="F35" s="8" t="str">
        <f t="shared" si="15"/>
        <v>▼</v>
      </c>
      <c r="G35" s="21">
        <f t="shared" si="16"/>
        <v>-72736</v>
      </c>
      <c r="H35" s="13">
        <f t="shared" si="17"/>
        <v>-6.4383810219301174E-2</v>
      </c>
    </row>
    <row r="36" spans="2:12" ht="15" thickBot="1" x14ac:dyDescent="0.35">
      <c r="B36" s="11" t="s">
        <v>36</v>
      </c>
      <c r="C36" s="15">
        <f t="shared" ref="C36:E36" si="18">C34+C35</f>
        <v>2223429</v>
      </c>
      <c r="D36" s="15">
        <f t="shared" si="18"/>
        <v>2254827</v>
      </c>
      <c r="E36" s="15">
        <f t="shared" si="18"/>
        <v>2141875</v>
      </c>
      <c r="F36" s="44" t="str">
        <f t="shared" si="15"/>
        <v>▼</v>
      </c>
      <c r="G36" s="35">
        <f t="shared" si="16"/>
        <v>-112952</v>
      </c>
      <c r="H36" s="16">
        <f t="shared" si="17"/>
        <v>-5.0093421801317817E-2</v>
      </c>
    </row>
    <row r="37" spans="2:12" x14ac:dyDescent="0.3">
      <c r="C37" s="154">
        <f>C36-C5</f>
        <v>0</v>
      </c>
      <c r="D37" s="154">
        <f>D36-D5</f>
        <v>0</v>
      </c>
      <c r="E37" s="154">
        <f>E36-E5</f>
        <v>0</v>
      </c>
    </row>
    <row r="38" spans="2:12" x14ac:dyDescent="0.3">
      <c r="B38" s="87" t="s">
        <v>50</v>
      </c>
      <c r="C38" s="62"/>
      <c r="D38" s="62"/>
      <c r="E38" s="62"/>
      <c r="J38" s="86" t="s">
        <v>144</v>
      </c>
      <c r="K38" s="86"/>
      <c r="L38" s="86"/>
    </row>
    <row r="39" spans="2:12" ht="15" thickBot="1" x14ac:dyDescent="0.35"/>
    <row r="40" spans="2:12" ht="15" thickBot="1" x14ac:dyDescent="0.35">
      <c r="B40" s="170" t="s">
        <v>0</v>
      </c>
      <c r="C40" s="171" t="str">
        <f>C3</f>
        <v>6 luni 2021</v>
      </c>
      <c r="D40" s="171" t="str">
        <f>D3</f>
        <v>6 luni 2022</v>
      </c>
      <c r="E40" s="171" t="str">
        <f>E3</f>
        <v>6 luni 2023</v>
      </c>
      <c r="F40" s="227" t="str">
        <f>CONCATENATE(Data_Interim!J3," vs. ",Data_Interim!I3)</f>
        <v>2023 vs. 2022</v>
      </c>
      <c r="G40" s="227"/>
      <c r="H40" s="227"/>
      <c r="J40" s="172">
        <f>Data_Interim!H3</f>
        <v>2021</v>
      </c>
      <c r="K40" s="172">
        <f>Data_Interim!I3</f>
        <v>2022</v>
      </c>
      <c r="L40" s="172">
        <f>Data_Interim!J3</f>
        <v>2023</v>
      </c>
    </row>
    <row r="41" spans="2:12" x14ac:dyDescent="0.3">
      <c r="B41" s="150" t="s">
        <v>168</v>
      </c>
      <c r="C41" s="8">
        <f>SUMIF(Data_Interim!$B:$B,$B41,Data_Interim!H:H)</f>
        <v>123293002</v>
      </c>
      <c r="D41" s="8">
        <f>SUMIF(Data_Interim!$B:$B,$B41,Data_Interim!I:I)</f>
        <v>134652067</v>
      </c>
      <c r="E41" s="8">
        <f>SUMIF(Data_Interim!$B:$B,$B41,Data_Interim!J:J)</f>
        <v>112276281</v>
      </c>
      <c r="F41" s="8" t="str">
        <f t="shared" ref="F41" si="19">IF(E41+D41&gt;0,IF(E41&gt;D41,"▲",IF(E41=D41,"▬","▼")),IF(E41&gt;D41,"▼",IF(E41=D41,"▬","▲")))</f>
        <v>▼</v>
      </c>
      <c r="G41" s="21">
        <f t="shared" ref="G41" si="20">E41-D41</f>
        <v>-22375786</v>
      </c>
      <c r="H41" s="13">
        <f t="shared" ref="H41" si="21">E41/D41-1</f>
        <v>-0.16617484230672819</v>
      </c>
      <c r="J41" s="72">
        <f t="shared" ref="J41:L42" si="22">C41/C$43</f>
        <v>0.99120722756336999</v>
      </c>
      <c r="K41" s="72">
        <f t="shared" si="22"/>
        <v>0.99171361423804616</v>
      </c>
      <c r="L41" s="73">
        <f t="shared" si="22"/>
        <v>0.99042982682067837</v>
      </c>
    </row>
    <row r="42" spans="2:12" ht="15" thickBot="1" x14ac:dyDescent="0.35">
      <c r="B42" s="150" t="s">
        <v>34</v>
      </c>
      <c r="C42" s="8">
        <f>SUMIF(Data_Interim!$B:$B,$B42,Data_Interim!H:H)</f>
        <v>1093704</v>
      </c>
      <c r="D42" s="8">
        <f>SUMIF(Data_Interim!$B:$B,$B42,Data_Interim!I:I)</f>
        <v>1125102</v>
      </c>
      <c r="E42" s="8">
        <f>SUMIF(Data_Interim!$B:$B,$B42,Data_Interim!J:J)</f>
        <v>1084886</v>
      </c>
      <c r="F42" s="8" t="str">
        <f t="shared" ref="F42:F43" si="23">IF(E42+D42&gt;0,IF(E42&gt;D42,"▲",IF(E42=D42,"▬","▼")),IF(E42&gt;D42,"▼",IF(E42=D42,"▬","▲")))</f>
        <v>▼</v>
      </c>
      <c r="G42" s="21">
        <f t="shared" ref="G42:G43" si="24">E42-D42</f>
        <v>-40216</v>
      </c>
      <c r="H42" s="13">
        <f t="shared" ref="H42:H43" si="25">E42/D42-1</f>
        <v>-3.5744314737686023E-2</v>
      </c>
      <c r="J42" s="73">
        <f t="shared" si="22"/>
        <v>8.7927724366300038E-3</v>
      </c>
      <c r="K42" s="73">
        <f t="shared" si="22"/>
        <v>8.2863857619538371E-3</v>
      </c>
      <c r="L42" s="73">
        <f t="shared" si="22"/>
        <v>9.5701731793216283E-3</v>
      </c>
    </row>
    <row r="43" spans="2:12" ht="15" thickBot="1" x14ac:dyDescent="0.35">
      <c r="B43" s="11" t="s">
        <v>186</v>
      </c>
      <c r="C43" s="15">
        <f t="shared" ref="C43:E43" si="26">C41+C42</f>
        <v>124386706</v>
      </c>
      <c r="D43" s="15">
        <f t="shared" si="26"/>
        <v>135777169</v>
      </c>
      <c r="E43" s="15">
        <f t="shared" si="26"/>
        <v>113361167</v>
      </c>
      <c r="F43" s="44" t="str">
        <f t="shared" si="23"/>
        <v>▼</v>
      </c>
      <c r="G43" s="22">
        <f t="shared" si="24"/>
        <v>-22416002</v>
      </c>
      <c r="H43" s="16">
        <f t="shared" si="25"/>
        <v>-0.16509404464015598</v>
      </c>
      <c r="J43" s="70">
        <f t="shared" ref="J43:L43" si="27">J41+J42</f>
        <v>1</v>
      </c>
      <c r="K43" s="70">
        <f t="shared" si="27"/>
        <v>1</v>
      </c>
      <c r="L43" s="70">
        <f t="shared" si="27"/>
        <v>1</v>
      </c>
    </row>
    <row r="44" spans="2:12" x14ac:dyDescent="0.3">
      <c r="B44" s="29"/>
      <c r="C44" s="155"/>
      <c r="D44" s="155"/>
      <c r="E44" s="155"/>
      <c r="F44" s="8"/>
      <c r="G44" s="156"/>
      <c r="H44" s="157"/>
      <c r="J44" s="158"/>
      <c r="K44" s="158"/>
      <c r="L44" s="158"/>
    </row>
    <row r="45" spans="2:12" x14ac:dyDescent="0.3">
      <c r="B45" s="23"/>
    </row>
    <row r="46" spans="2:12" x14ac:dyDescent="0.3">
      <c r="B46" s="86" t="s">
        <v>237</v>
      </c>
      <c r="J46" s="86" t="s">
        <v>183</v>
      </c>
      <c r="K46" s="86"/>
      <c r="L46" s="86"/>
    </row>
    <row r="47" spans="2:12" ht="15" thickBot="1" x14ac:dyDescent="0.35"/>
    <row r="48" spans="2:12" ht="15" thickBot="1" x14ac:dyDescent="0.35">
      <c r="B48" s="170"/>
      <c r="C48" s="171" t="str">
        <f>C3</f>
        <v>6 luni 2021</v>
      </c>
      <c r="D48" s="171" t="str">
        <f t="shared" ref="D48:E48" si="28">D3</f>
        <v>6 luni 2022</v>
      </c>
      <c r="E48" s="171" t="str">
        <f t="shared" si="28"/>
        <v>6 luni 2023</v>
      </c>
      <c r="F48" s="227" t="str">
        <f>F3</f>
        <v>2023 vs. 2022</v>
      </c>
      <c r="G48" s="227"/>
      <c r="H48" s="227"/>
      <c r="I48" s="75"/>
      <c r="J48" s="172">
        <f>J40</f>
        <v>2021</v>
      </c>
      <c r="K48" s="172">
        <f t="shared" ref="K48:L48" si="29">K40</f>
        <v>2022</v>
      </c>
      <c r="L48" s="172">
        <f t="shared" si="29"/>
        <v>2023</v>
      </c>
    </row>
    <row r="49" spans="2:12" x14ac:dyDescent="0.3">
      <c r="B49" s="69" t="s">
        <v>228</v>
      </c>
      <c r="C49" s="71">
        <f>SUMIF(Data_Interim!$B:$B,$B49,Data_Interim!H:H)</f>
        <v>61312889</v>
      </c>
      <c r="D49" s="71">
        <f>SUMIF(Data_Interim!$B:$B,$B49,Data_Interim!I:I)</f>
        <v>67473991</v>
      </c>
      <c r="E49" s="71">
        <f>SUMIF(Data_Interim!$B:$B,$B49,Data_Interim!J:J)</f>
        <v>53749284.800000004</v>
      </c>
      <c r="F49" s="8" t="str">
        <f t="shared" ref="F49:F53" si="30">IF(E49+D49&gt;0,IF(E49&gt;D49,"▲",IF(E49=D49,"▬","▼")),IF(E49&gt;D49,"▼",IF(E49=D49,"▬","▲")))</f>
        <v>▼</v>
      </c>
      <c r="G49" s="12">
        <f t="shared" ref="G49:G53" si="31">E49-D49</f>
        <v>-13724706.199999996</v>
      </c>
      <c r="H49" s="13">
        <f t="shared" ref="H49" si="32">E49/D49-1</f>
        <v>-0.20340735736233528</v>
      </c>
      <c r="I49" s="20"/>
      <c r="J49" s="72">
        <f>C49/C$53</f>
        <v>0.49729415299661534</v>
      </c>
      <c r="K49" s="72">
        <f t="shared" ref="K49" si="33">D49/D$29</f>
        <v>0.50109881343299389</v>
      </c>
      <c r="L49" s="13">
        <f t="shared" ref="L49" si="34">E49/E$29</f>
        <v>0.47872341770523369</v>
      </c>
    </row>
    <row r="50" spans="2:12" x14ac:dyDescent="0.3">
      <c r="B50" s="69" t="s">
        <v>230</v>
      </c>
      <c r="C50" s="8">
        <f>SUMIF(Data_Interim!$B:$B,$B50,Data_Interim!H:H)</f>
        <v>18665292</v>
      </c>
      <c r="D50" s="8">
        <f>SUMIF(Data_Interim!$B:$B,$B50,Data_Interim!I:I)</f>
        <v>23570544</v>
      </c>
      <c r="E50" s="8">
        <f>SUMIF(Data_Interim!$B:$B,$B50,Data_Interim!J:J)</f>
        <v>21053908.44000002</v>
      </c>
      <c r="F50" s="8" t="str">
        <f t="shared" si="30"/>
        <v>▼</v>
      </c>
      <c r="G50" s="12">
        <f t="shared" si="31"/>
        <v>-2516635.55999998</v>
      </c>
      <c r="H50" s="13">
        <f>E50/D50-1</f>
        <v>-0.10677036389147321</v>
      </c>
      <c r="I50" s="20"/>
      <c r="J50" s="73">
        <f t="shared" ref="J50:J52" si="35">C50/C$53</f>
        <v>0.15138971147770414</v>
      </c>
      <c r="K50" s="73">
        <f t="shared" ref="K50:K52" si="36">D50/D$29</f>
        <v>0.17504776959717966</v>
      </c>
      <c r="L50" s="13">
        <f t="shared" ref="L50:L52" si="37">E50/E$29</f>
        <v>0.1875187556811895</v>
      </c>
    </row>
    <row r="51" spans="2:12" x14ac:dyDescent="0.3">
      <c r="B51" s="69" t="s">
        <v>232</v>
      </c>
      <c r="C51" s="8">
        <f>SUMIF(Data_Interim!$B:$B,$B51,Data_Interim!H:H)</f>
        <v>2951204</v>
      </c>
      <c r="D51" s="8">
        <f>SUMIF(Data_Interim!$B:$B,$B51,Data_Interim!I:I)</f>
        <v>4504176</v>
      </c>
      <c r="E51" s="8">
        <f>SUMIF(Data_Interim!$B:$B,$B51,Data_Interim!J:J)</f>
        <v>3689759.42</v>
      </c>
      <c r="F51" s="8" t="str">
        <f t="shared" si="30"/>
        <v>▼</v>
      </c>
      <c r="G51" s="12">
        <f t="shared" si="31"/>
        <v>-814416.58000000007</v>
      </c>
      <c r="H51" s="13">
        <f t="shared" ref="H51:H53" si="38">E51/D51-1</f>
        <v>-0.18081366713911717</v>
      </c>
      <c r="I51" s="20"/>
      <c r="J51" s="73">
        <f t="shared" si="35"/>
        <v>2.3936508578159203E-2</v>
      </c>
      <c r="K51" s="73">
        <f t="shared" si="36"/>
        <v>3.345047796407017E-2</v>
      </c>
      <c r="L51" s="13">
        <f t="shared" si="37"/>
        <v>3.2863213838567773E-2</v>
      </c>
    </row>
    <row r="52" spans="2:12" ht="15" thickBot="1" x14ac:dyDescent="0.35">
      <c r="B52" s="69" t="s">
        <v>234</v>
      </c>
      <c r="C52" s="8">
        <f>SUMIF(Data_Interim!$B:$B,$B52,Data_Interim!H:H)</f>
        <v>40363617</v>
      </c>
      <c r="D52" s="8">
        <f>SUMIF(Data_Interim!$B:$B,$B52,Data_Interim!I:I)</f>
        <v>39103356</v>
      </c>
      <c r="E52" s="8">
        <f>SUMIF(Data_Interim!$B:$B,$B52,Data_Interim!J:J)</f>
        <v>33783327.990000002</v>
      </c>
      <c r="F52" s="8" t="str">
        <f t="shared" si="30"/>
        <v>▼</v>
      </c>
      <c r="G52" s="12">
        <f t="shared" si="31"/>
        <v>-5320028.0099999979</v>
      </c>
      <c r="H52" s="13">
        <f t="shared" si="38"/>
        <v>-0.13605042007136159</v>
      </c>
      <c r="I52" s="20"/>
      <c r="J52" s="73">
        <f t="shared" si="35"/>
        <v>0.32737962694752132</v>
      </c>
      <c r="K52" s="73">
        <f t="shared" si="36"/>
        <v>0.2904029390057562</v>
      </c>
      <c r="L52" s="13">
        <f t="shared" si="37"/>
        <v>0.30089461277500906</v>
      </c>
    </row>
    <row r="53" spans="2:12" ht="15" thickBot="1" x14ac:dyDescent="0.35">
      <c r="B53" s="11" t="s">
        <v>36</v>
      </c>
      <c r="C53" s="15">
        <f>SUM(C49:C52)</f>
        <v>123293002</v>
      </c>
      <c r="D53" s="15">
        <f>SUM(D49:D52)</f>
        <v>134652067</v>
      </c>
      <c r="E53" s="15">
        <f>SUM(E49:E52)</f>
        <v>112276280.65000004</v>
      </c>
      <c r="F53" s="44" t="str">
        <f t="shared" si="30"/>
        <v>▼</v>
      </c>
      <c r="G53" s="35">
        <f t="shared" si="31"/>
        <v>-22375786.349999964</v>
      </c>
      <c r="H53" s="16">
        <f t="shared" si="38"/>
        <v>-0.16617484490601964</v>
      </c>
      <c r="I53" s="20"/>
      <c r="J53" s="70">
        <f>SUM(J49:J52)</f>
        <v>1</v>
      </c>
      <c r="K53" s="70">
        <f>SUM(K49:K52)</f>
        <v>1</v>
      </c>
      <c r="L53" s="70">
        <f>SUM(L49:L52)</f>
        <v>1</v>
      </c>
    </row>
    <row r="54" spans="2:12" x14ac:dyDescent="0.3">
      <c r="C54" s="80">
        <f>C53-C4</f>
        <v>0</v>
      </c>
      <c r="D54" s="80">
        <f t="shared" ref="D54:E54" si="39">D53-D4</f>
        <v>0</v>
      </c>
      <c r="E54" s="80">
        <f t="shared" si="39"/>
        <v>-0.34999996423721313</v>
      </c>
      <c r="F54" s="80"/>
      <c r="G54" s="80"/>
      <c r="H54" s="80"/>
      <c r="I54" s="80"/>
      <c r="J54" s="80"/>
      <c r="K54" s="80"/>
      <c r="L54" s="80"/>
    </row>
    <row r="55" spans="2:12" x14ac:dyDescent="0.3"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2:12" x14ac:dyDescent="0.3"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spans="2:12" x14ac:dyDescent="0.3">
      <c r="C57" s="80"/>
      <c r="D57" s="80"/>
      <c r="E57" s="80"/>
      <c r="F57" s="80"/>
      <c r="G57" s="80"/>
      <c r="H57" s="80"/>
      <c r="I57" s="80"/>
      <c r="J57" s="80"/>
      <c r="K57" s="80"/>
      <c r="L57" s="80"/>
    </row>
    <row r="58" spans="2:12" x14ac:dyDescent="0.3">
      <c r="C58" s="80"/>
      <c r="D58" s="80"/>
      <c r="E58" s="80"/>
      <c r="F58" s="80"/>
      <c r="G58" s="80"/>
      <c r="H58" s="80"/>
      <c r="I58" s="80"/>
      <c r="J58" s="80"/>
      <c r="K58" s="80"/>
      <c r="L58" s="80"/>
    </row>
    <row r="59" spans="2:12" x14ac:dyDescent="0.3">
      <c r="C59" s="80"/>
      <c r="D59" s="80"/>
      <c r="E59" s="80"/>
      <c r="F59" s="80"/>
      <c r="G59" s="80"/>
      <c r="H59" s="80"/>
      <c r="I59" s="80"/>
      <c r="J59" s="80"/>
      <c r="K59" s="80"/>
      <c r="L59" s="80"/>
    </row>
    <row r="60" spans="2:12" x14ac:dyDescent="0.3"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2:12" x14ac:dyDescent="0.3">
      <c r="C61" s="80"/>
      <c r="D61" s="80"/>
      <c r="E61" s="80"/>
      <c r="F61" s="80"/>
      <c r="G61" s="80"/>
      <c r="H61" s="80"/>
      <c r="I61" s="80"/>
      <c r="J61" s="80"/>
      <c r="K61" s="80"/>
      <c r="L61" s="80"/>
    </row>
    <row r="62" spans="2:12" x14ac:dyDescent="0.3">
      <c r="C62" s="80"/>
      <c r="D62" s="80"/>
      <c r="E62" s="80"/>
      <c r="F62" s="80"/>
      <c r="G62" s="80"/>
      <c r="H62" s="80"/>
      <c r="I62" s="80"/>
      <c r="J62" s="80"/>
      <c r="K62" s="80"/>
      <c r="L62" s="80"/>
    </row>
    <row r="63" spans="2:12" x14ac:dyDescent="0.3">
      <c r="C63" s="80"/>
      <c r="D63" s="80"/>
      <c r="E63" s="80"/>
      <c r="F63" s="80"/>
      <c r="G63" s="80"/>
      <c r="H63" s="80"/>
      <c r="I63" s="80"/>
      <c r="J63" s="80"/>
      <c r="K63" s="80"/>
      <c r="L63" s="80"/>
    </row>
    <row r="64" spans="2:12" x14ac:dyDescent="0.3">
      <c r="C64" s="80"/>
      <c r="D64" s="80"/>
      <c r="E64" s="80"/>
      <c r="F64" s="80"/>
      <c r="G64" s="80"/>
      <c r="H64" s="80"/>
      <c r="I64" s="80"/>
      <c r="J64" s="80"/>
      <c r="K64" s="80"/>
      <c r="L64" s="80"/>
    </row>
    <row r="65" spans="3:12" x14ac:dyDescent="0.3">
      <c r="C65" s="80"/>
      <c r="D65" s="80"/>
      <c r="E65" s="80"/>
      <c r="F65" s="80"/>
      <c r="G65" s="80"/>
      <c r="H65" s="80"/>
      <c r="I65" s="80"/>
      <c r="J65" s="80"/>
      <c r="K65" s="80"/>
      <c r="L65" s="80"/>
    </row>
    <row r="66" spans="3:12" x14ac:dyDescent="0.3"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3:12" x14ac:dyDescent="0.3">
      <c r="C67" s="80"/>
      <c r="D67" s="80"/>
      <c r="E67" s="80"/>
      <c r="F67" s="80"/>
      <c r="G67" s="80"/>
      <c r="H67" s="80"/>
      <c r="I67" s="80"/>
      <c r="J67" s="80"/>
      <c r="K67" s="80"/>
      <c r="L67" s="80"/>
    </row>
    <row r="68" spans="3:12" x14ac:dyDescent="0.3">
      <c r="C68" s="80"/>
      <c r="D68" s="80"/>
      <c r="E68" s="80"/>
      <c r="F68" s="80"/>
      <c r="G68" s="80"/>
      <c r="H68" s="80"/>
      <c r="I68" s="80"/>
      <c r="J68" s="80"/>
      <c r="K68" s="80"/>
      <c r="L68" s="80"/>
    </row>
    <row r="69" spans="3:12" x14ac:dyDescent="0.3">
      <c r="C69" s="80"/>
      <c r="D69" s="80"/>
      <c r="E69" s="80"/>
      <c r="F69" s="80"/>
      <c r="G69" s="80"/>
      <c r="H69" s="80"/>
      <c r="I69" s="80"/>
      <c r="J69" s="80"/>
      <c r="K69" s="80"/>
      <c r="L69" s="80"/>
    </row>
    <row r="70" spans="3:12" x14ac:dyDescent="0.3">
      <c r="C70" s="80"/>
      <c r="D70" s="80"/>
      <c r="E70" s="80"/>
      <c r="F70" s="80"/>
      <c r="G70" s="80"/>
      <c r="H70" s="80"/>
      <c r="I70" s="80"/>
      <c r="J70" s="80"/>
      <c r="K70" s="80"/>
      <c r="L70" s="80"/>
    </row>
    <row r="71" spans="3:12" x14ac:dyDescent="0.3">
      <c r="C71" s="80"/>
      <c r="D71" s="80"/>
      <c r="E71" s="80"/>
      <c r="F71" s="80"/>
      <c r="G71" s="80"/>
      <c r="H71" s="80"/>
      <c r="I71" s="80"/>
      <c r="J71" s="80"/>
      <c r="K71" s="80"/>
      <c r="L71" s="80"/>
    </row>
    <row r="72" spans="3:12" x14ac:dyDescent="0.3">
      <c r="C72" s="80"/>
      <c r="D72" s="80"/>
      <c r="E72" s="80"/>
      <c r="F72" s="80"/>
      <c r="G72" s="80"/>
      <c r="H72" s="80"/>
      <c r="I72" s="80"/>
      <c r="J72" s="80"/>
      <c r="K72" s="80"/>
      <c r="L72" s="80"/>
    </row>
    <row r="73" spans="3:12" x14ac:dyDescent="0.3">
      <c r="C73" s="80"/>
      <c r="D73" s="80"/>
      <c r="E73" s="80"/>
      <c r="F73" s="80"/>
      <c r="G73" s="80"/>
      <c r="H73" s="80"/>
      <c r="I73" s="80"/>
      <c r="J73" s="80"/>
      <c r="K73" s="80"/>
      <c r="L73" s="80"/>
    </row>
    <row r="74" spans="3:12" x14ac:dyDescent="0.3">
      <c r="C74" s="80"/>
      <c r="D74" s="80"/>
      <c r="E74" s="80"/>
      <c r="F74" s="80"/>
      <c r="G74" s="80"/>
      <c r="H74" s="80"/>
      <c r="I74" s="80"/>
      <c r="J74" s="80"/>
      <c r="K74" s="80"/>
      <c r="L74" s="80"/>
    </row>
    <row r="75" spans="3:12" x14ac:dyDescent="0.3"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3:12" x14ac:dyDescent="0.3">
      <c r="C76" s="80"/>
      <c r="D76" s="80"/>
      <c r="E76" s="80"/>
      <c r="F76" s="80"/>
      <c r="G76" s="80"/>
      <c r="H76" s="80"/>
      <c r="I76" s="80"/>
      <c r="J76" s="80"/>
      <c r="K76" s="80"/>
      <c r="L76" s="80"/>
    </row>
    <row r="77" spans="3:12" x14ac:dyDescent="0.3">
      <c r="C77" s="80"/>
      <c r="D77" s="80"/>
      <c r="E77" s="80"/>
      <c r="F77" s="80"/>
      <c r="G77" s="80"/>
      <c r="H77" s="80"/>
      <c r="I77" s="80"/>
      <c r="J77" s="80"/>
      <c r="K77" s="80"/>
      <c r="L77" s="80"/>
    </row>
    <row r="78" spans="3:12" x14ac:dyDescent="0.3">
      <c r="C78" s="80"/>
      <c r="D78" s="80"/>
      <c r="E78" s="80"/>
      <c r="F78" s="80"/>
      <c r="G78" s="80"/>
      <c r="H78" s="80"/>
      <c r="I78" s="80"/>
      <c r="J78" s="80"/>
      <c r="K78" s="80"/>
      <c r="L78" s="80"/>
    </row>
    <row r="79" spans="3:12" x14ac:dyDescent="0.3">
      <c r="C79" s="80"/>
      <c r="D79" s="80"/>
      <c r="E79" s="80"/>
      <c r="F79" s="80"/>
      <c r="G79" s="80"/>
      <c r="H79" s="80"/>
      <c r="I79" s="80"/>
      <c r="J79" s="80"/>
      <c r="K79" s="80"/>
      <c r="L79" s="80"/>
    </row>
    <row r="80" spans="3:12" x14ac:dyDescent="0.3">
      <c r="C80" s="80"/>
      <c r="D80" s="80"/>
      <c r="E80" s="80"/>
      <c r="F80" s="80"/>
      <c r="G80" s="80"/>
      <c r="H80" s="80"/>
      <c r="I80" s="80"/>
      <c r="J80" s="80"/>
      <c r="K80" s="80"/>
      <c r="L80" s="80"/>
    </row>
    <row r="81" spans="3:12" x14ac:dyDescent="0.3">
      <c r="C81" s="80"/>
      <c r="D81" s="80"/>
      <c r="E81" s="80"/>
      <c r="F81" s="80"/>
      <c r="G81" s="80"/>
      <c r="H81" s="80"/>
      <c r="I81" s="80"/>
      <c r="J81" s="80"/>
      <c r="K81" s="80"/>
      <c r="L81" s="80"/>
    </row>
    <row r="82" spans="3:12" x14ac:dyDescent="0.3">
      <c r="C82" s="80"/>
      <c r="D82" s="80"/>
      <c r="E82" s="80"/>
      <c r="F82" s="80"/>
      <c r="G82" s="80"/>
      <c r="H82" s="80"/>
      <c r="I82" s="80"/>
      <c r="J82" s="80"/>
      <c r="K82" s="80"/>
      <c r="L82" s="80"/>
    </row>
    <row r="83" spans="3:12" x14ac:dyDescent="0.3">
      <c r="C83" s="80"/>
      <c r="D83" s="80"/>
      <c r="E83" s="80"/>
      <c r="F83" s="80"/>
      <c r="G83" s="80"/>
      <c r="H83" s="80"/>
      <c r="I83" s="80"/>
      <c r="J83" s="80"/>
      <c r="K83" s="80"/>
      <c r="L83" s="80"/>
    </row>
    <row r="84" spans="3:12" x14ac:dyDescent="0.3">
      <c r="C84" s="80"/>
      <c r="D84" s="80"/>
      <c r="E84" s="80"/>
      <c r="F84" s="80"/>
      <c r="G84" s="80"/>
      <c r="H84" s="80"/>
      <c r="I84" s="80"/>
      <c r="J84" s="80"/>
      <c r="K84" s="80"/>
      <c r="L84" s="80"/>
    </row>
    <row r="85" spans="3:12" x14ac:dyDescent="0.3">
      <c r="C85" s="80"/>
      <c r="D85" s="80"/>
      <c r="E85" s="80"/>
      <c r="F85" s="80"/>
      <c r="G85" s="80"/>
      <c r="H85" s="80"/>
      <c r="I85" s="80"/>
      <c r="J85" s="80"/>
      <c r="K85" s="80"/>
      <c r="L85" s="80"/>
    </row>
    <row r="86" spans="3:12" x14ac:dyDescent="0.3">
      <c r="C86" s="80"/>
      <c r="D86" s="80"/>
      <c r="E86" s="80"/>
      <c r="F86" s="80"/>
      <c r="G86" s="80"/>
      <c r="H86" s="80"/>
      <c r="I86" s="80"/>
      <c r="J86" s="80"/>
      <c r="K86" s="80"/>
      <c r="L86" s="80"/>
    </row>
    <row r="87" spans="3:12" x14ac:dyDescent="0.3">
      <c r="C87" s="80"/>
      <c r="D87" s="80"/>
      <c r="E87" s="80"/>
      <c r="F87" s="80"/>
      <c r="G87" s="80"/>
      <c r="H87" s="80"/>
      <c r="I87" s="80"/>
      <c r="J87" s="80"/>
      <c r="K87" s="80"/>
      <c r="L87" s="80"/>
    </row>
    <row r="88" spans="3:12" x14ac:dyDescent="0.3">
      <c r="C88" s="80"/>
      <c r="D88" s="80"/>
      <c r="E88" s="80"/>
      <c r="F88" s="80"/>
      <c r="G88" s="80"/>
      <c r="H88" s="80"/>
      <c r="I88" s="80"/>
      <c r="J88" s="80"/>
      <c r="K88" s="80"/>
      <c r="L88" s="80"/>
    </row>
    <row r="89" spans="3:12" x14ac:dyDescent="0.3">
      <c r="C89" s="80"/>
      <c r="D89" s="80"/>
      <c r="E89" s="80"/>
      <c r="F89" s="80"/>
      <c r="G89" s="80"/>
      <c r="H89" s="80"/>
      <c r="I89" s="80"/>
      <c r="J89" s="80"/>
      <c r="K89" s="80"/>
      <c r="L89" s="80"/>
    </row>
    <row r="90" spans="3:12" x14ac:dyDescent="0.3">
      <c r="C90" s="80"/>
      <c r="D90" s="80"/>
      <c r="E90" s="80"/>
      <c r="F90" s="80"/>
      <c r="G90" s="80"/>
      <c r="H90" s="80"/>
      <c r="I90" s="80"/>
      <c r="J90" s="80"/>
      <c r="K90" s="80"/>
      <c r="L90" s="80"/>
    </row>
    <row r="91" spans="3:12" x14ac:dyDescent="0.3">
      <c r="C91" s="80"/>
      <c r="D91" s="80"/>
      <c r="E91" s="80"/>
      <c r="F91" s="80"/>
      <c r="G91" s="80"/>
      <c r="H91" s="80"/>
      <c r="I91" s="80"/>
      <c r="J91" s="80"/>
      <c r="K91" s="80"/>
      <c r="L91" s="80"/>
    </row>
    <row r="92" spans="3:12" x14ac:dyDescent="0.3">
      <c r="C92" s="80"/>
      <c r="D92" s="80"/>
      <c r="E92" s="80"/>
      <c r="F92" s="80"/>
      <c r="G92" s="80"/>
      <c r="H92" s="80"/>
      <c r="I92" s="80"/>
      <c r="J92" s="80"/>
      <c r="K92" s="80"/>
      <c r="L92" s="80"/>
    </row>
    <row r="93" spans="3:12" x14ac:dyDescent="0.3"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3:12" x14ac:dyDescent="0.3"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3:12" x14ac:dyDescent="0.3"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3:12" x14ac:dyDescent="0.3">
      <c r="C96" s="80"/>
      <c r="D96" s="80"/>
      <c r="E96" s="80"/>
      <c r="F96" s="80"/>
      <c r="G96" s="80"/>
      <c r="H96" s="80"/>
      <c r="I96" s="80"/>
      <c r="J96" s="80"/>
      <c r="K96" s="80"/>
      <c r="L96" s="80"/>
    </row>
  </sheetData>
  <mergeCells count="5">
    <mergeCell ref="F3:H3"/>
    <mergeCell ref="F23:H23"/>
    <mergeCell ref="F40:H40"/>
    <mergeCell ref="F33:H33"/>
    <mergeCell ref="F48:H48"/>
  </mergeCells>
  <conditionalFormatting sqref="F4:F19">
    <cfRule type="expression" dxfId="17" priority="9">
      <formula>E4=D4</formula>
    </cfRule>
    <cfRule type="expression" dxfId="16" priority="10">
      <formula>E4&lt;D4</formula>
    </cfRule>
    <cfRule type="expression" dxfId="15" priority="11">
      <formula>E4&gt;D4</formula>
    </cfRule>
  </conditionalFormatting>
  <conditionalFormatting sqref="F24:F29">
    <cfRule type="expression" dxfId="14" priority="59">
      <formula>E24=D24</formula>
    </cfRule>
    <cfRule type="expression" dxfId="13" priority="60">
      <formula>E24&lt;D24</formula>
    </cfRule>
    <cfRule type="expression" dxfId="12" priority="61">
      <formula>E24&gt;D24</formula>
    </cfRule>
  </conditionalFormatting>
  <conditionalFormatting sqref="F34:F36">
    <cfRule type="expression" dxfId="11" priority="27">
      <formula>E34=D34</formula>
    </cfRule>
    <cfRule type="expression" dxfId="10" priority="28">
      <formula>E34&lt;D34</formula>
    </cfRule>
    <cfRule type="expression" dxfId="9" priority="29">
      <formula>E34&gt;D34</formula>
    </cfRule>
  </conditionalFormatting>
  <conditionalFormatting sqref="F41:F44">
    <cfRule type="expression" dxfId="8" priority="41">
      <formula>E41=D41</formula>
    </cfRule>
    <cfRule type="expression" dxfId="7" priority="42">
      <formula>E41&lt;D41</formula>
    </cfRule>
    <cfRule type="expression" dxfId="6" priority="43">
      <formula>E41&gt;D41</formula>
    </cfRule>
  </conditionalFormatting>
  <conditionalFormatting sqref="F49:F53">
    <cfRule type="expression" dxfId="5" priority="2">
      <formula>E49=D49</formula>
    </cfRule>
    <cfRule type="expression" dxfId="4" priority="3">
      <formula>E49&lt;D49</formula>
    </cfRule>
    <cfRule type="expression" dxfId="3" priority="4">
      <formula>E49&gt;D49</formula>
    </cfRule>
  </conditionalFormatting>
  <conditionalFormatting sqref="H1:H53">
    <cfRule type="containsErrors" dxfId="2" priority="8">
      <formula>ISERROR(H1)</formula>
    </cfRule>
  </conditionalFormatting>
  <conditionalFormatting sqref="L24:L29">
    <cfRule type="containsErrors" dxfId="1" priority="24">
      <formula>ISERROR(L24)</formula>
    </cfRule>
  </conditionalFormatting>
  <conditionalFormatting sqref="L49:L53 H97:H1048576">
    <cfRule type="containsErrors" dxfId="0" priority="34">
      <formula>ISERROR(H49)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23CE4-A21D-4DF4-9F89-AED0BBEECCC0}">
  <dimension ref="A1:E58"/>
  <sheetViews>
    <sheetView showGridLines="0" zoomScale="90" zoomScaleNormal="90" workbookViewId="0">
      <pane xSplit="1" ySplit="2" topLeftCell="C3" activePane="bottomRight" state="frozen"/>
      <selection pane="topRight" activeCell="C1" sqref="C1"/>
      <selection pane="bottomLeft" activeCell="A3" sqref="A3"/>
      <selection pane="bottomRight" activeCell="H11" sqref="H11"/>
    </sheetView>
  </sheetViews>
  <sheetFormatPr defaultRowHeight="14.4" x14ac:dyDescent="0.3"/>
  <cols>
    <col min="1" max="1" width="72.6640625" style="47" customWidth="1"/>
    <col min="2" max="2" width="71.5546875" style="47" hidden="1" customWidth="1"/>
    <col min="3" max="3" width="15.33203125" style="190" bestFit="1" customWidth="1"/>
    <col min="4" max="4" width="14.77734375" style="47" customWidth="1"/>
    <col min="5" max="5" width="16.6640625" style="47" customWidth="1"/>
    <col min="6" max="16384" width="8.88671875" style="47"/>
  </cols>
  <sheetData>
    <row r="1" spans="1:5" ht="15" thickBot="1" x14ac:dyDescent="0.35">
      <c r="A1" s="189"/>
      <c r="B1" s="189"/>
      <c r="C1" s="191">
        <v>44377</v>
      </c>
      <c r="D1" s="191">
        <v>44742</v>
      </c>
      <c r="E1" s="201">
        <v>45107</v>
      </c>
    </row>
    <row r="2" spans="1:5" ht="15" thickTop="1" x14ac:dyDescent="0.3">
      <c r="A2" s="189"/>
      <c r="B2" s="189"/>
      <c r="C2" s="189"/>
      <c r="D2" s="189"/>
      <c r="E2" s="202"/>
    </row>
    <row r="3" spans="1:5" ht="15" thickBot="1" x14ac:dyDescent="0.35">
      <c r="A3" s="198" t="s">
        <v>240</v>
      </c>
      <c r="B3" s="198" t="s">
        <v>284</v>
      </c>
      <c r="C3" s="192">
        <v>3270977</v>
      </c>
      <c r="D3" s="192">
        <v>4058675</v>
      </c>
      <c r="E3" s="203">
        <v>5220906</v>
      </c>
    </row>
    <row r="4" spans="1:5" ht="15" thickTop="1" x14ac:dyDescent="0.3">
      <c r="A4" s="189"/>
      <c r="B4" s="189"/>
      <c r="C4" s="193"/>
      <c r="D4" s="193"/>
      <c r="E4" s="204"/>
    </row>
    <row r="5" spans="1:5" x14ac:dyDescent="0.3">
      <c r="A5" s="199" t="s">
        <v>241</v>
      </c>
      <c r="B5" s="199" t="s">
        <v>285</v>
      </c>
      <c r="C5" s="193">
        <v>523739</v>
      </c>
      <c r="D5" s="193">
        <v>719096</v>
      </c>
      <c r="E5" s="204">
        <v>774565</v>
      </c>
    </row>
    <row r="6" spans="1:5" x14ac:dyDescent="0.3">
      <c r="A6" s="199" t="s">
        <v>286</v>
      </c>
      <c r="B6" s="199" t="s">
        <v>287</v>
      </c>
      <c r="C6" s="193">
        <v>0</v>
      </c>
      <c r="D6" s="193"/>
      <c r="E6" s="204"/>
    </row>
    <row r="7" spans="1:5" x14ac:dyDescent="0.3">
      <c r="A7" s="199" t="s">
        <v>242</v>
      </c>
      <c r="B7" s="199" t="s">
        <v>288</v>
      </c>
      <c r="C7" s="193">
        <v>4999169</v>
      </c>
      <c r="D7" s="193">
        <v>4904747</v>
      </c>
      <c r="E7" s="204">
        <v>4745999</v>
      </c>
    </row>
    <row r="8" spans="1:5" x14ac:dyDescent="0.3">
      <c r="A8" s="199" t="s">
        <v>243</v>
      </c>
      <c r="B8" s="199" t="s">
        <v>289</v>
      </c>
      <c r="C8" s="193">
        <v>267</v>
      </c>
      <c r="D8" s="193">
        <v>-9006</v>
      </c>
      <c r="E8" s="204">
        <v>0</v>
      </c>
    </row>
    <row r="9" spans="1:5" x14ac:dyDescent="0.3">
      <c r="A9" s="199" t="s">
        <v>244</v>
      </c>
      <c r="B9" s="199" t="s">
        <v>290</v>
      </c>
      <c r="C9" s="193">
        <v>0</v>
      </c>
      <c r="D9" s="193">
        <v>0</v>
      </c>
      <c r="E9" s="204">
        <v>-3992451</v>
      </c>
    </row>
    <row r="10" spans="1:5" x14ac:dyDescent="0.3">
      <c r="A10" s="199" t="s">
        <v>245</v>
      </c>
      <c r="B10" s="199" t="s">
        <v>291</v>
      </c>
      <c r="C10" s="193">
        <v>-218395</v>
      </c>
      <c r="D10" s="193">
        <v>-9793</v>
      </c>
      <c r="E10" s="204">
        <v>-34287</v>
      </c>
    </row>
    <row r="11" spans="1:5" x14ac:dyDescent="0.3">
      <c r="A11" s="199" t="s">
        <v>246</v>
      </c>
      <c r="B11" s="199" t="s">
        <v>292</v>
      </c>
      <c r="C11" s="193">
        <v>-3422</v>
      </c>
      <c r="D11" s="193">
        <v>0</v>
      </c>
      <c r="E11" s="204">
        <v>-1427</v>
      </c>
    </row>
    <row r="12" spans="1:5" x14ac:dyDescent="0.3">
      <c r="A12" s="199" t="s">
        <v>247</v>
      </c>
      <c r="B12" s="199" t="s">
        <v>293</v>
      </c>
      <c r="C12" s="193">
        <v>0</v>
      </c>
      <c r="D12" s="193">
        <v>188</v>
      </c>
      <c r="E12" s="204">
        <v>1427</v>
      </c>
    </row>
    <row r="13" spans="1:5" x14ac:dyDescent="0.3">
      <c r="A13" s="199" t="s">
        <v>248</v>
      </c>
      <c r="B13" s="199" t="s">
        <v>294</v>
      </c>
      <c r="C13" s="193">
        <v>559624</v>
      </c>
      <c r="D13" s="193">
        <v>703394</v>
      </c>
      <c r="E13" s="204">
        <v>1059500</v>
      </c>
    </row>
    <row r="14" spans="1:5" x14ac:dyDescent="0.3">
      <c r="A14" s="199" t="s">
        <v>189</v>
      </c>
      <c r="B14" s="199" t="s">
        <v>295</v>
      </c>
      <c r="C14" s="193">
        <v>-73323</v>
      </c>
      <c r="D14" s="193">
        <v>-81626</v>
      </c>
      <c r="E14" s="204">
        <v>-326931</v>
      </c>
    </row>
    <row r="15" spans="1:5" x14ac:dyDescent="0.3">
      <c r="A15" s="199" t="s">
        <v>249</v>
      </c>
      <c r="B15" s="199" t="s">
        <v>296</v>
      </c>
      <c r="C15" s="193">
        <v>-1129725</v>
      </c>
      <c r="D15" s="193">
        <v>-1129725</v>
      </c>
      <c r="E15" s="204">
        <v>-1056989</v>
      </c>
    </row>
    <row r="16" spans="1:5" x14ac:dyDescent="0.3">
      <c r="A16" s="199" t="s">
        <v>250</v>
      </c>
      <c r="B16" s="199" t="s">
        <v>297</v>
      </c>
      <c r="C16" s="193">
        <v>506574</v>
      </c>
      <c r="D16" s="193">
        <v>-106731</v>
      </c>
      <c r="E16" s="204">
        <v>-2518667</v>
      </c>
    </row>
    <row r="17" spans="1:5" x14ac:dyDescent="0.3">
      <c r="A17" s="189"/>
      <c r="B17" s="189"/>
      <c r="C17" s="193"/>
      <c r="D17" s="193"/>
      <c r="E17" s="204"/>
    </row>
    <row r="18" spans="1:5" x14ac:dyDescent="0.3">
      <c r="A18" s="200" t="s">
        <v>251</v>
      </c>
      <c r="B18" s="200" t="s">
        <v>298</v>
      </c>
      <c r="C18" s="193"/>
      <c r="D18" s="193"/>
      <c r="E18" s="204"/>
    </row>
    <row r="19" spans="1:5" x14ac:dyDescent="0.3">
      <c r="A19" s="199" t="s">
        <v>252</v>
      </c>
      <c r="B19" s="199" t="s">
        <v>299</v>
      </c>
      <c r="C19" s="193">
        <v>-21401328.850677084</v>
      </c>
      <c r="D19" s="193">
        <v>-10810546.538878635</v>
      </c>
      <c r="E19" s="204">
        <v>17726234.111744169</v>
      </c>
    </row>
    <row r="20" spans="1:5" x14ac:dyDescent="0.3">
      <c r="A20" s="199" t="s">
        <v>253</v>
      </c>
      <c r="B20" s="199" t="s">
        <v>300</v>
      </c>
      <c r="C20" s="193">
        <v>-3080655.1800000034</v>
      </c>
      <c r="D20" s="193">
        <v>-3284020</v>
      </c>
      <c r="E20" s="204">
        <v>1547608</v>
      </c>
    </row>
    <row r="21" spans="1:5" x14ac:dyDescent="0.3">
      <c r="A21" s="199" t="s">
        <v>254</v>
      </c>
      <c r="B21" s="199" t="s">
        <v>301</v>
      </c>
      <c r="C21" s="193">
        <v>-1200047.79</v>
      </c>
      <c r="D21" s="193">
        <v>-204884</v>
      </c>
      <c r="E21" s="204">
        <v>1518376</v>
      </c>
    </row>
    <row r="22" spans="1:5" x14ac:dyDescent="0.3">
      <c r="A22" s="199" t="s">
        <v>255</v>
      </c>
      <c r="B22" s="199" t="s">
        <v>302</v>
      </c>
      <c r="C22" s="193">
        <v>8453320.9999999963</v>
      </c>
      <c r="D22" s="193">
        <v>1988152</v>
      </c>
      <c r="E22" s="204">
        <v>-22714063</v>
      </c>
    </row>
    <row r="23" spans="1:5" x14ac:dyDescent="0.3">
      <c r="A23" s="199" t="s">
        <v>256</v>
      </c>
      <c r="B23" s="199" t="s">
        <v>303</v>
      </c>
      <c r="C23" s="193">
        <v>1426902.7700000014</v>
      </c>
      <c r="D23" s="193">
        <v>-642339</v>
      </c>
      <c r="E23" s="204">
        <v>-394406</v>
      </c>
    </row>
    <row r="24" spans="1:5" x14ac:dyDescent="0.3">
      <c r="A24" s="189"/>
      <c r="B24" s="189"/>
      <c r="C24" s="189"/>
      <c r="D24" s="189"/>
      <c r="E24" s="202"/>
    </row>
    <row r="25" spans="1:5" ht="15" thickBot="1" x14ac:dyDescent="0.35">
      <c r="A25" s="198" t="s">
        <v>257</v>
      </c>
      <c r="B25" s="198" t="s">
        <v>304</v>
      </c>
      <c r="C25" s="194">
        <f>SUM(C3:C23)</f>
        <v>-7366323.050677089</v>
      </c>
      <c r="D25" s="194">
        <f>SUM(D3:D23)</f>
        <v>-3904418.5388786346</v>
      </c>
      <c r="E25" s="205">
        <f>SUM(E3:E23)</f>
        <v>1555394.1117441691</v>
      </c>
    </row>
    <row r="26" spans="1:5" x14ac:dyDescent="0.3">
      <c r="A26" s="189"/>
      <c r="B26" s="189"/>
      <c r="C26" s="189"/>
      <c r="D26" s="189"/>
      <c r="E26" s="202"/>
    </row>
    <row r="27" spans="1:5" x14ac:dyDescent="0.3">
      <c r="A27" s="199" t="s">
        <v>258</v>
      </c>
      <c r="B27" s="199" t="s">
        <v>305</v>
      </c>
      <c r="C27" s="193">
        <v>-523739</v>
      </c>
      <c r="D27" s="193">
        <v>-719096</v>
      </c>
      <c r="E27" s="204">
        <v>-529682</v>
      </c>
    </row>
    <row r="28" spans="1:5" x14ac:dyDescent="0.3">
      <c r="A28" s="199" t="s">
        <v>259</v>
      </c>
      <c r="B28" s="199" t="s">
        <v>306</v>
      </c>
      <c r="C28" s="193">
        <v>-559624</v>
      </c>
      <c r="D28" s="193">
        <v>-703394</v>
      </c>
      <c r="E28" s="204">
        <v>-1059500</v>
      </c>
    </row>
    <row r="29" spans="1:5" x14ac:dyDescent="0.3">
      <c r="A29" s="189"/>
      <c r="B29" s="189"/>
      <c r="C29" s="189"/>
      <c r="D29" s="189"/>
      <c r="E29" s="202"/>
    </row>
    <row r="30" spans="1:5" ht="15" thickBot="1" x14ac:dyDescent="0.35">
      <c r="A30" s="198" t="s">
        <v>257</v>
      </c>
      <c r="B30" s="198" t="s">
        <v>307</v>
      </c>
      <c r="C30" s="194">
        <f>SUM(C25:C28)</f>
        <v>-8449686.050677089</v>
      </c>
      <c r="D30" s="194">
        <f t="shared" ref="D30:E30" si="0">SUM(D25:D28)</f>
        <v>-5326908.5388786346</v>
      </c>
      <c r="E30" s="205">
        <f t="shared" si="0"/>
        <v>-33787.888255830854</v>
      </c>
    </row>
    <row r="31" spans="1:5" x14ac:dyDescent="0.3">
      <c r="A31" s="189"/>
      <c r="B31" s="189"/>
      <c r="C31" s="189"/>
      <c r="D31" s="189"/>
      <c r="E31" s="202"/>
    </row>
    <row r="32" spans="1:5" x14ac:dyDescent="0.3">
      <c r="A32" s="200" t="s">
        <v>260</v>
      </c>
      <c r="B32" s="200" t="s">
        <v>308</v>
      </c>
      <c r="C32" s="189"/>
      <c r="D32" s="189"/>
      <c r="E32" s="202"/>
    </row>
    <row r="33" spans="1:5" x14ac:dyDescent="0.3">
      <c r="A33" s="199" t="s">
        <v>261</v>
      </c>
      <c r="B33" s="199" t="s">
        <v>309</v>
      </c>
      <c r="C33" s="193">
        <v>73323</v>
      </c>
      <c r="D33" s="193">
        <v>81626</v>
      </c>
      <c r="E33" s="204">
        <v>326931</v>
      </c>
    </row>
    <row r="34" spans="1:5" x14ac:dyDescent="0.3">
      <c r="A34" s="199" t="s">
        <v>262</v>
      </c>
      <c r="B34" s="199" t="s">
        <v>310</v>
      </c>
      <c r="C34" s="193">
        <v>-940706.80999998003</v>
      </c>
      <c r="D34" s="193">
        <v>-1470742.4900000002</v>
      </c>
      <c r="E34" s="204">
        <v>-9324090.1099999994</v>
      </c>
    </row>
    <row r="35" spans="1:5" x14ac:dyDescent="0.3">
      <c r="A35" s="199" t="s">
        <v>263</v>
      </c>
      <c r="B35" s="199" t="s">
        <v>311</v>
      </c>
      <c r="C35" s="193">
        <v>0</v>
      </c>
      <c r="D35" s="193">
        <v>9000</v>
      </c>
      <c r="E35" s="204">
        <v>0</v>
      </c>
    </row>
    <row r="36" spans="1:5" x14ac:dyDescent="0.3">
      <c r="A36" s="199" t="s">
        <v>264</v>
      </c>
      <c r="B36" s="199" t="s">
        <v>312</v>
      </c>
      <c r="C36" s="193">
        <v>0</v>
      </c>
      <c r="D36" s="193">
        <v>0</v>
      </c>
      <c r="E36" s="204">
        <v>7752606</v>
      </c>
    </row>
    <row r="37" spans="1:5" x14ac:dyDescent="0.3">
      <c r="A37" s="199" t="s">
        <v>313</v>
      </c>
      <c r="B37" s="199" t="s">
        <v>314</v>
      </c>
      <c r="C37" s="193">
        <v>-0.16000000000349246</v>
      </c>
      <c r="D37" s="193">
        <v>0</v>
      </c>
      <c r="E37" s="204">
        <v>0</v>
      </c>
    </row>
    <row r="38" spans="1:5" x14ac:dyDescent="0.3">
      <c r="A38" s="199" t="s">
        <v>265</v>
      </c>
      <c r="B38" s="199" t="s">
        <v>315</v>
      </c>
      <c r="C38" s="193">
        <v>-388278.51</v>
      </c>
      <c r="D38" s="193">
        <v>-33593</v>
      </c>
      <c r="E38" s="204">
        <v>0</v>
      </c>
    </row>
    <row r="39" spans="1:5" x14ac:dyDescent="0.3">
      <c r="A39" s="199" t="s">
        <v>266</v>
      </c>
      <c r="B39" s="199" t="s">
        <v>316</v>
      </c>
      <c r="C39" s="193">
        <v>-69392.430000000109</v>
      </c>
      <c r="D39" s="193">
        <v>-654.50999999999476</v>
      </c>
      <c r="E39" s="204">
        <v>-199382.88999999998</v>
      </c>
    </row>
    <row r="40" spans="1:5" x14ac:dyDescent="0.3">
      <c r="A40" s="199" t="s">
        <v>317</v>
      </c>
      <c r="B40" s="199" t="s">
        <v>318</v>
      </c>
      <c r="C40" s="193">
        <v>0</v>
      </c>
      <c r="D40" s="193"/>
      <c r="E40" s="204">
        <v>20147966</v>
      </c>
    </row>
    <row r="41" spans="1:5" x14ac:dyDescent="0.3">
      <c r="A41" s="199" t="s">
        <v>319</v>
      </c>
      <c r="B41" s="199" t="s">
        <v>320</v>
      </c>
      <c r="C41" s="193">
        <v>0</v>
      </c>
      <c r="D41" s="193">
        <v>-1000</v>
      </c>
      <c r="E41" s="204">
        <v>0</v>
      </c>
    </row>
    <row r="42" spans="1:5" x14ac:dyDescent="0.3">
      <c r="A42" s="199" t="s">
        <v>267</v>
      </c>
      <c r="B42" s="199" t="s">
        <v>321</v>
      </c>
      <c r="C42" s="193">
        <v>0</v>
      </c>
      <c r="D42" s="193">
        <v>0</v>
      </c>
      <c r="E42" s="204">
        <v>39579200</v>
      </c>
    </row>
    <row r="43" spans="1:5" x14ac:dyDescent="0.3">
      <c r="A43" s="189"/>
      <c r="B43" s="189"/>
      <c r="C43" s="189"/>
      <c r="D43" s="189"/>
      <c r="E43" s="202"/>
    </row>
    <row r="44" spans="1:5" ht="15" thickBot="1" x14ac:dyDescent="0.35">
      <c r="A44" s="198" t="s">
        <v>268</v>
      </c>
      <c r="B44" s="198" t="s">
        <v>322</v>
      </c>
      <c r="C44" s="194">
        <f>SUM(C33:C42)</f>
        <v>-1325054.9099999801</v>
      </c>
      <c r="D44" s="194">
        <f>SUM(D33:D42)</f>
        <v>-1415364.0000000002</v>
      </c>
      <c r="E44" s="205">
        <f>SUM(E33:E42)</f>
        <v>58283230</v>
      </c>
    </row>
    <row r="45" spans="1:5" x14ac:dyDescent="0.3">
      <c r="A45" s="198"/>
      <c r="B45" s="198"/>
      <c r="C45" s="195"/>
      <c r="D45" s="195"/>
      <c r="E45" s="206"/>
    </row>
    <row r="46" spans="1:5" x14ac:dyDescent="0.3">
      <c r="A46" s="200" t="s">
        <v>269</v>
      </c>
      <c r="B46" s="200" t="s">
        <v>323</v>
      </c>
      <c r="C46" s="189"/>
      <c r="D46" s="189"/>
      <c r="E46" s="202"/>
    </row>
    <row r="47" spans="1:5" x14ac:dyDescent="0.3">
      <c r="A47" s="199" t="s">
        <v>270</v>
      </c>
      <c r="B47" s="199" t="s">
        <v>324</v>
      </c>
      <c r="C47" s="193">
        <f>-218445.219322927+0.29</f>
        <v>-218444.929322927</v>
      </c>
      <c r="D47" s="193">
        <f>440447.138878634+0.4</f>
        <v>440447.53887863405</v>
      </c>
      <c r="E47" s="204">
        <f>-21765415.8017442-0.2</f>
        <v>-21765416.0017442</v>
      </c>
    </row>
    <row r="48" spans="1:5" ht="15" thickBot="1" x14ac:dyDescent="0.35">
      <c r="A48" s="199" t="s">
        <v>271</v>
      </c>
      <c r="B48" s="199" t="s">
        <v>325</v>
      </c>
      <c r="C48" s="193">
        <v>-2641220.2400000095</v>
      </c>
      <c r="D48" s="193">
        <v>0</v>
      </c>
      <c r="E48" s="204">
        <v>-28951452.109999999</v>
      </c>
    </row>
    <row r="49" spans="1:5" x14ac:dyDescent="0.3">
      <c r="A49" s="189"/>
      <c r="B49" s="189"/>
      <c r="C49" s="196"/>
      <c r="D49" s="196"/>
      <c r="E49" s="207"/>
    </row>
    <row r="50" spans="1:5" ht="15" thickBot="1" x14ac:dyDescent="0.35">
      <c r="A50" s="198" t="s">
        <v>272</v>
      </c>
      <c r="B50" s="198" t="s">
        <v>326</v>
      </c>
      <c r="C50" s="194">
        <f>SUM(C47:C48)</f>
        <v>-2859665.1693229363</v>
      </c>
      <c r="D50" s="194">
        <f>SUM(D47:D48)</f>
        <v>440447.53887863405</v>
      </c>
      <c r="E50" s="205">
        <f>SUM(E47:E48)</f>
        <v>-50716868.111744195</v>
      </c>
    </row>
    <row r="51" spans="1:5" x14ac:dyDescent="0.3">
      <c r="A51" s="189"/>
      <c r="B51" s="189"/>
      <c r="C51" s="189"/>
      <c r="D51" s="189"/>
      <c r="E51" s="202"/>
    </row>
    <row r="52" spans="1:5" ht="15" thickBot="1" x14ac:dyDescent="0.35">
      <c r="A52" s="198" t="s">
        <v>273</v>
      </c>
      <c r="B52" s="198" t="s">
        <v>327</v>
      </c>
      <c r="C52" s="194">
        <f>C50+C44+C30</f>
        <v>-12634406.130000006</v>
      </c>
      <c r="D52" s="194">
        <f>D50+D44+D30</f>
        <v>-6301825.0000000009</v>
      </c>
      <c r="E52" s="205">
        <f>E50+E44+E30</f>
        <v>7532573.9999999739</v>
      </c>
    </row>
    <row r="53" spans="1:5" x14ac:dyDescent="0.3">
      <c r="A53" s="189"/>
      <c r="B53" s="189"/>
      <c r="C53" s="189"/>
      <c r="D53" s="189"/>
      <c r="E53" s="202"/>
    </row>
    <row r="54" spans="1:5" ht="15" thickBot="1" x14ac:dyDescent="0.35">
      <c r="A54" s="198" t="s">
        <v>274</v>
      </c>
      <c r="B54" s="198" t="s">
        <v>328</v>
      </c>
      <c r="C54" s="197">
        <v>17588598.129999999</v>
      </c>
      <c r="D54" s="197">
        <v>12798377</v>
      </c>
      <c r="E54" s="208">
        <v>2772710</v>
      </c>
    </row>
    <row r="55" spans="1:5" ht="15" thickTop="1" x14ac:dyDescent="0.3">
      <c r="A55" s="189"/>
      <c r="B55" s="189"/>
      <c r="C55" s="189"/>
      <c r="D55" s="189"/>
      <c r="E55" s="202"/>
    </row>
    <row r="56" spans="1:5" ht="15" thickBot="1" x14ac:dyDescent="0.35">
      <c r="A56" s="198" t="s">
        <v>275</v>
      </c>
      <c r="B56" s="198" t="s">
        <v>329</v>
      </c>
      <c r="C56" s="197">
        <f>C52+C54</f>
        <v>4954191.9999999925</v>
      </c>
      <c r="D56" s="197">
        <f t="shared" ref="D56:E56" si="1">D52+D54</f>
        <v>6496551.9999999991</v>
      </c>
      <c r="E56" s="208">
        <f t="shared" si="1"/>
        <v>10305283.999999974</v>
      </c>
    </row>
    <row r="57" spans="1:5" ht="15" thickTop="1" x14ac:dyDescent="0.3"/>
    <row r="58" spans="1:5" x14ac:dyDescent="0.3">
      <c r="C58" s="190">
        <f>C56-'1.Pozitia Financiara'!B13</f>
        <v>-7.4505805969238281E-9</v>
      </c>
      <c r="D58" s="190">
        <f>D56-'1.Pozitia Financiara'!C13</f>
        <v>0</v>
      </c>
      <c r="E58" s="190">
        <f>E56-'1.Pozitia Financiara'!D13</f>
        <v>-2.6077032089233398E-8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1"/>
  <sheetViews>
    <sheetView showGridLines="0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K22" sqref="K22"/>
    </sheetView>
  </sheetViews>
  <sheetFormatPr defaultColWidth="9.109375" defaultRowHeight="14.4" x14ac:dyDescent="0.3"/>
  <cols>
    <col min="1" max="1" width="33.5546875" style="1" customWidth="1"/>
    <col min="2" max="2" width="41.33203125" style="1" customWidth="1"/>
    <col min="3" max="3" width="12.109375" style="1" bestFit="1" customWidth="1"/>
    <col min="4" max="5" width="11.88671875" style="1" bestFit="1" customWidth="1"/>
    <col min="6" max="6" width="2.109375" style="1" customWidth="1"/>
    <col min="7" max="16384" width="9.109375" style="1"/>
  </cols>
  <sheetData>
    <row r="1" spans="1:14" x14ac:dyDescent="0.3">
      <c r="B1" s="86" t="str">
        <f>Snapshots!B2</f>
        <v>6 LUNI</v>
      </c>
    </row>
    <row r="2" spans="1:14" ht="15" thickBot="1" x14ac:dyDescent="0.35"/>
    <row r="3" spans="1:14" ht="18.75" customHeight="1" thickBot="1" x14ac:dyDescent="0.35">
      <c r="A3" s="170" t="s">
        <v>0</v>
      </c>
      <c r="B3" s="170" t="s">
        <v>46</v>
      </c>
      <c r="C3" s="172">
        <f>Data_Interim!H3</f>
        <v>2021</v>
      </c>
      <c r="D3" s="172">
        <f>Data_Interim!I3</f>
        <v>2022</v>
      </c>
      <c r="E3" s="172">
        <f>Data_Interim!J3</f>
        <v>2023</v>
      </c>
    </row>
    <row r="4" spans="1:14" x14ac:dyDescent="0.3">
      <c r="A4" s="1" t="s">
        <v>69</v>
      </c>
      <c r="B4" s="185" t="s">
        <v>80</v>
      </c>
      <c r="C4" s="12">
        <f>'EBIT-EBITDA'!C7</f>
        <v>4268745</v>
      </c>
      <c r="D4" s="12">
        <f>'EBIT-EBITDA'!D7</f>
        <v>5346579</v>
      </c>
      <c r="E4" s="179">
        <f>'EBIT-EBITDA'!E7</f>
        <v>6895870</v>
      </c>
      <c r="L4" s="76"/>
      <c r="M4" s="76"/>
      <c r="N4" s="76"/>
    </row>
    <row r="5" spans="1:14" x14ac:dyDescent="0.3">
      <c r="A5" s="1" t="s">
        <v>45</v>
      </c>
      <c r="B5" s="185" t="s">
        <v>80</v>
      </c>
      <c r="C5" s="12">
        <f>'EBIT-EBITDA'!C10</f>
        <v>8138189</v>
      </c>
      <c r="D5" s="12">
        <f>'EBIT-EBITDA'!D10</f>
        <v>9121601</v>
      </c>
      <c r="E5" s="179">
        <f>'EBIT-EBITDA'!E10</f>
        <v>10584880</v>
      </c>
      <c r="L5" s="76"/>
      <c r="M5" s="76"/>
      <c r="N5" s="76"/>
    </row>
    <row r="6" spans="1:14" x14ac:dyDescent="0.3">
      <c r="A6" s="1" t="s">
        <v>50</v>
      </c>
      <c r="B6" s="12" t="s">
        <v>81</v>
      </c>
      <c r="C6" s="12">
        <f>'3.Sit.Rezultatului Global'!C43</f>
        <v>124386706</v>
      </c>
      <c r="D6" s="12">
        <f>'3.Sit.Rezultatului Global'!D43</f>
        <v>135777169</v>
      </c>
      <c r="E6" s="179">
        <f>'3.Sit.Rezultatului Global'!E43</f>
        <v>113361167</v>
      </c>
      <c r="L6" s="76"/>
      <c r="M6" s="76"/>
      <c r="N6" s="76"/>
    </row>
    <row r="7" spans="1:14" x14ac:dyDescent="0.3">
      <c r="A7" s="1" t="s">
        <v>47</v>
      </c>
      <c r="B7" s="12" t="s">
        <v>61</v>
      </c>
      <c r="C7" s="30">
        <f t="shared" ref="C7" si="0">C5/C6</f>
        <v>6.5426517525112374E-2</v>
      </c>
      <c r="D7" s="30">
        <f t="shared" ref="D7:E7" si="1">D5/D6</f>
        <v>6.7180668643930852E-2</v>
      </c>
      <c r="E7" s="180">
        <f t="shared" si="1"/>
        <v>9.3373068398281397E-2</v>
      </c>
      <c r="L7" s="76"/>
      <c r="M7" s="76"/>
      <c r="N7" s="76"/>
    </row>
    <row r="8" spans="1:14" x14ac:dyDescent="0.3">
      <c r="A8" s="1" t="s">
        <v>48</v>
      </c>
      <c r="B8" s="1" t="s">
        <v>62</v>
      </c>
      <c r="C8" s="30">
        <f>C5/'1.Pozitia Financiara'!B21</f>
        <v>5.8614622911134596E-2</v>
      </c>
      <c r="D8" s="30">
        <f>D5/'1.Pozitia Financiara'!C21</f>
        <v>6.7287133996327228E-2</v>
      </c>
      <c r="E8" s="180">
        <f>E5/'1.Pozitia Financiara'!D21</f>
        <v>6.9528611949211699E-2</v>
      </c>
      <c r="L8" s="76"/>
      <c r="M8" s="76"/>
      <c r="N8" s="76"/>
    </row>
    <row r="9" spans="1:14" x14ac:dyDescent="0.3">
      <c r="A9" s="1" t="s">
        <v>49</v>
      </c>
      <c r="B9" s="1" t="s">
        <v>63</v>
      </c>
      <c r="C9" s="30">
        <f>'3.Sit.Rezultatului Global'!C15/C6</f>
        <v>3.050740808266118E-2</v>
      </c>
      <c r="D9" s="30">
        <f>'3.Sit.Rezultatului Global'!D15/D6</f>
        <v>3.5188323892656796E-2</v>
      </c>
      <c r="E9" s="180">
        <f>'3.Sit.Rezultatului Global'!E15/E6</f>
        <v>5.2888225824280724E-2</v>
      </c>
      <c r="L9" s="76"/>
      <c r="M9" s="76"/>
      <c r="N9" s="76"/>
    </row>
    <row r="10" spans="1:14" x14ac:dyDescent="0.3">
      <c r="A10" s="1" t="s">
        <v>51</v>
      </c>
      <c r="B10" s="1" t="s">
        <v>64</v>
      </c>
      <c r="C10" s="31">
        <f>'1.Pozitia Financiara'!B15/'1.Pozitia Financiara'!B30</f>
        <v>1.147886420669795</v>
      </c>
      <c r="D10" s="31">
        <f>'1.Pozitia Financiara'!C15/'1.Pozitia Financiara'!C30</f>
        <v>1.2084644383852341</v>
      </c>
      <c r="E10" s="181">
        <f>'1.Pozitia Financiara'!D15/'1.Pozitia Financiara'!D30</f>
        <v>2.1333323700390716</v>
      </c>
      <c r="L10" s="76"/>
      <c r="M10" s="76"/>
      <c r="N10" s="76"/>
    </row>
    <row r="11" spans="1:14" x14ac:dyDescent="0.3">
      <c r="A11" s="1" t="s">
        <v>52</v>
      </c>
      <c r="B11" s="1" t="s">
        <v>65</v>
      </c>
      <c r="C11" s="31">
        <f>('1.Pozitia Financiara'!B15-'1.Pozitia Financiara'!B9)/'1.Pozitia Financiara'!B30</f>
        <v>0.83244819452496921</v>
      </c>
      <c r="D11" s="31">
        <f>('1.Pozitia Financiara'!C15-'1.Pozitia Financiara'!C9)/'1.Pozitia Financiara'!C30</f>
        <v>0.8794522892701121</v>
      </c>
      <c r="E11" s="181">
        <f>('1.Pozitia Financiara'!D15-'1.Pozitia Financiara'!D9)/'1.Pozitia Financiara'!D30</f>
        <v>1.5746703346553073</v>
      </c>
      <c r="L11" s="76"/>
      <c r="M11" s="76"/>
      <c r="N11" s="76"/>
    </row>
    <row r="12" spans="1:14" x14ac:dyDescent="0.3">
      <c r="A12" s="1" t="s">
        <v>53</v>
      </c>
      <c r="B12" s="1" t="s">
        <v>66</v>
      </c>
      <c r="C12" s="32">
        <f>'1.Pozitia Financiara'!B26/'1.Pozitia Financiara'!B21</f>
        <v>0.15988497856838282</v>
      </c>
      <c r="D12" s="32">
        <f>'1.Pozitia Financiara'!C26/'1.Pozitia Financiara'!C21</f>
        <v>0.139995036231856</v>
      </c>
      <c r="E12" s="182">
        <f>'1.Pozitia Financiara'!D26/'1.Pozitia Financiara'!D21</f>
        <v>0.15363643886558023</v>
      </c>
      <c r="L12" s="76"/>
      <c r="M12" s="76"/>
      <c r="N12" s="76"/>
    </row>
    <row r="13" spans="1:14" x14ac:dyDescent="0.3">
      <c r="A13" s="1" t="s">
        <v>54</v>
      </c>
      <c r="B13" s="1" t="s">
        <v>67</v>
      </c>
      <c r="C13" s="32">
        <f>'1.Pozitia Financiara'!B31/'1.Pozitia Financiara'!B32</f>
        <v>0.42500842770706648</v>
      </c>
      <c r="D13" s="32">
        <f>'1.Pozitia Financiara'!C31/'1.Pozitia Financiara'!C32</f>
        <v>0.45459546860647093</v>
      </c>
      <c r="E13" s="182">
        <f>'1.Pozitia Financiara'!D31/'1.Pozitia Financiara'!D32</f>
        <v>0.32785122829226399</v>
      </c>
      <c r="L13" s="76"/>
      <c r="M13" s="76"/>
      <c r="N13" s="76"/>
    </row>
    <row r="14" spans="1:14" x14ac:dyDescent="0.3">
      <c r="A14" s="1" t="s">
        <v>55</v>
      </c>
      <c r="B14" s="1" t="s">
        <v>68</v>
      </c>
      <c r="C14" s="33">
        <f>'EBIT-EBITDA'!C7/'EBIT-EBITDA'!C6</f>
        <v>9.0052401857270343</v>
      </c>
      <c r="D14" s="33">
        <f>'EBIT-EBITDA'!D7/'EBIT-EBITDA'!D6</f>
        <v>9.3996199068930117</v>
      </c>
      <c r="E14" s="183">
        <f>'EBIT-EBITDA'!E7/'EBIT-EBITDA'!E6</f>
        <v>7.6586824285677793</v>
      </c>
      <c r="L14" s="76"/>
      <c r="M14" s="76"/>
      <c r="N14" s="76"/>
    </row>
    <row r="15" spans="1:14" x14ac:dyDescent="0.3">
      <c r="A15" s="1" t="s">
        <v>56</v>
      </c>
      <c r="B15" s="1" t="s">
        <v>70</v>
      </c>
      <c r="C15" s="33">
        <f>(SUMIFS(Data_Annual_BS!$D:$D,Data_Annual_BS!$A:$A,C$3-1,Data_Annual_BS!$C:$C,"Trade and other current receivables")+'1.Pozitia Financiara'!B10)/2/C6*C21</f>
        <v>69.118535659268915</v>
      </c>
      <c r="D15" s="33">
        <f>(SUMIFS(Data_Annual_BS!$D:$D,Data_Annual_BS!$A:$A,D$3-1,Data_Annual_BS!$C:$C,"Trade and other current receivables")+'1.Pozitia Financiara'!C10)/2/D6*D21</f>
        <v>84.00453739022943</v>
      </c>
      <c r="E15" s="183">
        <f>(SUMIFS(Data_Annual_BS!$D:$D,Data_Annual_BS!$A:$A,E$3-1,Data_Annual_BS!$C:$C,"Trade and other current receivables")+'1.Pozitia Financiara'!D10)/2/E6*E21</f>
        <v>101.57589026937241</v>
      </c>
      <c r="L15" s="76"/>
      <c r="M15" s="76"/>
      <c r="N15" s="76"/>
    </row>
    <row r="16" spans="1:14" x14ac:dyDescent="0.3">
      <c r="A16" s="1" t="s">
        <v>57</v>
      </c>
      <c r="B16" s="1" t="s">
        <v>71</v>
      </c>
      <c r="C16" s="33">
        <f>(SUMIFS(Data_Annual_BS!$D:$D,Data_Annual_BS!$A:$A,C$3-1,Data_Annual_BS!$C:$C,"Trade and other payables")+'1.Pozitia Financiara'!B27)/2/C6*C21</f>
        <v>43.928445617009906</v>
      </c>
      <c r="D16" s="33">
        <f>(SUMIFS(Data_Annual_BS!$D:$D,Data_Annual_BS!$A:$A,D$3-1,Data_Annual_BS!$C:$C,"Trade and other payables")+'1.Pozitia Financiara'!C27)/2/D6*D21</f>
        <v>50.583448827099943</v>
      </c>
      <c r="E16" s="183">
        <f>(SUMIFS(Data_Annual_BS!$D:$D,Data_Annual_BS!$A:$A,E$3-1,Data_Annual_BS!$C:$C,"Trade and other payables")+'1.Pozitia Financiara'!D27)/2/E6*E21</f>
        <v>58.280066312302516</v>
      </c>
      <c r="L16" s="76"/>
      <c r="M16" s="76"/>
      <c r="N16" s="76"/>
    </row>
    <row r="17" spans="1:14" x14ac:dyDescent="0.3">
      <c r="A17" s="1" t="s">
        <v>238</v>
      </c>
      <c r="B17" s="1" t="s">
        <v>239</v>
      </c>
      <c r="C17" s="31">
        <f>C6/'1.Pozitia Financiara'!B8</f>
        <v>0.83398737044575955</v>
      </c>
      <c r="D17" s="31">
        <f>D6/'1.Pozitia Financiara'!C8</f>
        <v>1.0061894763354871</v>
      </c>
      <c r="E17" s="181">
        <f>E6/'1.Pozitia Financiara'!D8</f>
        <v>0.96086963129474057</v>
      </c>
      <c r="L17" s="76"/>
      <c r="M17" s="76"/>
      <c r="N17" s="76"/>
    </row>
    <row r="18" spans="1:14" x14ac:dyDescent="0.3">
      <c r="A18" s="1" t="s">
        <v>58</v>
      </c>
      <c r="B18" s="1" t="s">
        <v>72</v>
      </c>
      <c r="C18" s="30">
        <f>'3.Sit.Rezultatului Global'!C17/'1.Pozitia Financiara'!B16</f>
        <v>1.3546190330397964E-2</v>
      </c>
      <c r="D18" s="30">
        <f>'3.Sit.Rezultatului Global'!D17/'1.Pozitia Financiara'!C16</f>
        <v>1.6329165003344265E-2</v>
      </c>
      <c r="E18" s="180">
        <f>'3.Sit.Rezultatului Global'!E17/'1.Pozitia Financiara'!D16</f>
        <v>2.3050953989361491E-2</v>
      </c>
      <c r="L18" s="76"/>
      <c r="M18" s="76"/>
      <c r="N18" s="76"/>
    </row>
    <row r="19" spans="1:14" x14ac:dyDescent="0.3">
      <c r="A19" s="1" t="s">
        <v>59</v>
      </c>
      <c r="B19" s="1" t="s">
        <v>73</v>
      </c>
      <c r="C19" s="30">
        <f>'3.Sit.Rezultatului Global'!C17/'1.Pozitia Financiara'!B21</f>
        <v>2.3558937179511841E-2</v>
      </c>
      <c r="D19" s="30">
        <f>'3.Sit.Rezultatului Global'!D17/'1.Pozitia Financiara'!C21</f>
        <v>2.9939547736471197E-2</v>
      </c>
      <c r="E19" s="180">
        <f>'3.Sit.Rezultatului Global'!E17/'1.Pozitia Financiara'!D21</f>
        <v>3.4294422543978874E-2</v>
      </c>
      <c r="L19" s="76"/>
      <c r="M19" s="76"/>
      <c r="N19" s="76"/>
    </row>
    <row r="20" spans="1:14" x14ac:dyDescent="0.3">
      <c r="A20" s="1" t="s">
        <v>60</v>
      </c>
      <c r="B20" s="1" t="s">
        <v>74</v>
      </c>
      <c r="C20" s="30">
        <f>'3.Sit.Rezultatului Global'!C17/C6</f>
        <v>2.6296837541465244E-2</v>
      </c>
      <c r="D20" s="30">
        <f>'3.Sit.Rezultatului Global'!D17/D6</f>
        <v>2.9892175760418159E-2</v>
      </c>
      <c r="E20" s="180">
        <f>'3.Sit.Rezultatului Global'!E17/E6</f>
        <v>4.6055506820955716E-2</v>
      </c>
      <c r="L20" s="76"/>
      <c r="M20" s="76"/>
      <c r="N20" s="76"/>
    </row>
    <row r="21" spans="1:14" s="23" customFormat="1" x14ac:dyDescent="0.3">
      <c r="B21" s="23" t="s">
        <v>132</v>
      </c>
      <c r="C21" s="68">
        <v>180</v>
      </c>
      <c r="D21" s="68">
        <v>180</v>
      </c>
      <c r="E21" s="184">
        <v>180</v>
      </c>
    </row>
    <row r="23" spans="1:14" x14ac:dyDescent="0.3">
      <c r="A23" s="23" t="s">
        <v>41</v>
      </c>
    </row>
    <row r="24" spans="1:14" x14ac:dyDescent="0.3">
      <c r="C24" s="76"/>
      <c r="D24" s="76"/>
      <c r="E24" s="76"/>
    </row>
    <row r="25" spans="1:14" x14ac:dyDescent="0.3">
      <c r="C25" s="76"/>
      <c r="D25" s="76"/>
      <c r="E25" s="76"/>
    </row>
    <row r="26" spans="1:14" x14ac:dyDescent="0.3">
      <c r="C26" s="76"/>
      <c r="D26" s="76"/>
      <c r="E26" s="76"/>
    </row>
    <row r="27" spans="1:14" x14ac:dyDescent="0.3">
      <c r="C27" s="76"/>
      <c r="D27" s="76"/>
      <c r="E27" s="76"/>
    </row>
    <row r="28" spans="1:14" x14ac:dyDescent="0.3">
      <c r="C28" s="76"/>
      <c r="D28" s="76"/>
      <c r="E28" s="76"/>
    </row>
    <row r="29" spans="1:14" x14ac:dyDescent="0.3">
      <c r="C29" s="76"/>
      <c r="D29" s="76"/>
      <c r="E29" s="76"/>
    </row>
    <row r="30" spans="1:14" x14ac:dyDescent="0.3">
      <c r="C30" s="76"/>
      <c r="D30" s="76"/>
      <c r="E30" s="76"/>
    </row>
    <row r="31" spans="1:14" x14ac:dyDescent="0.3">
      <c r="C31" s="76"/>
      <c r="D31" s="76"/>
      <c r="E31" s="76"/>
    </row>
    <row r="32" spans="1:14" x14ac:dyDescent="0.3">
      <c r="C32" s="76"/>
      <c r="D32" s="76"/>
      <c r="E32" s="76"/>
    </row>
    <row r="33" spans="3:5" x14ac:dyDescent="0.3">
      <c r="C33" s="76"/>
      <c r="D33" s="76"/>
      <c r="E33" s="76"/>
    </row>
    <row r="34" spans="3:5" x14ac:dyDescent="0.3">
      <c r="C34" s="76"/>
      <c r="D34" s="76"/>
      <c r="E34" s="76"/>
    </row>
    <row r="35" spans="3:5" x14ac:dyDescent="0.3">
      <c r="C35" s="76"/>
      <c r="D35" s="76"/>
      <c r="E35" s="76"/>
    </row>
    <row r="36" spans="3:5" x14ac:dyDescent="0.3">
      <c r="C36" s="76"/>
      <c r="D36" s="76"/>
      <c r="E36" s="76"/>
    </row>
    <row r="37" spans="3:5" x14ac:dyDescent="0.3">
      <c r="C37" s="76"/>
      <c r="D37" s="76"/>
      <c r="E37" s="76"/>
    </row>
    <row r="38" spans="3:5" x14ac:dyDescent="0.3">
      <c r="C38" s="76"/>
      <c r="D38" s="76"/>
      <c r="E38" s="76"/>
    </row>
    <row r="39" spans="3:5" x14ac:dyDescent="0.3">
      <c r="C39" s="76"/>
      <c r="D39" s="76"/>
      <c r="E39" s="76"/>
    </row>
    <row r="40" spans="3:5" x14ac:dyDescent="0.3">
      <c r="C40" s="76"/>
      <c r="D40" s="76"/>
      <c r="E40" s="76"/>
    </row>
    <row r="41" spans="3:5" x14ac:dyDescent="0.3">
      <c r="C41" s="76"/>
      <c r="D41" s="76"/>
      <c r="E41" s="76"/>
    </row>
  </sheetData>
  <hyperlinks>
    <hyperlink ref="B4" location="'EBIT-EBITDA'!A1" display="See EBIT-EBITDA" xr:uid="{5A7694FE-C4E2-4A8A-8E6B-E12036C358EE}"/>
    <hyperlink ref="B5" location="'EBIT-EBITDA'!A1" display="See EBIT-EBITDA" xr:uid="{957C128E-6D79-4B0D-B208-C5EDC9CB8865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43"/>
  <sheetViews>
    <sheetView zoomScale="84" zoomScaleNormal="84" workbookViewId="0">
      <selection activeCell="Y26" sqref="Y26"/>
    </sheetView>
  </sheetViews>
  <sheetFormatPr defaultColWidth="9.109375" defaultRowHeight="14.4" x14ac:dyDescent="0.3"/>
  <cols>
    <col min="1" max="1" width="5.6640625" style="129" customWidth="1"/>
    <col min="2" max="3" width="9.109375" style="129"/>
    <col min="4" max="4" width="9.88671875" style="129" customWidth="1"/>
    <col min="5" max="5" width="13.88671875" style="129" customWidth="1"/>
    <col min="6" max="6" width="9.109375" style="129"/>
    <col min="7" max="7" width="15.6640625" style="129" customWidth="1"/>
    <col min="8" max="8" width="9.109375" style="129"/>
    <col min="9" max="9" width="2.21875" style="129" customWidth="1"/>
    <col min="10" max="10" width="1.109375" style="129" customWidth="1"/>
    <col min="11" max="17" width="9.109375" style="129"/>
    <col min="18" max="18" width="3.6640625" style="129" customWidth="1"/>
    <col min="19" max="16384" width="9.109375" style="129"/>
  </cols>
  <sheetData>
    <row r="1" spans="2:21" ht="8.25" customHeight="1" x14ac:dyDescent="0.3"/>
    <row r="2" spans="2:21" x14ac:dyDescent="0.3">
      <c r="B2" s="228" t="s">
        <v>139</v>
      </c>
      <c r="C2" s="228"/>
      <c r="D2" s="228"/>
      <c r="E2" s="228"/>
      <c r="F2" s="229" t="s">
        <v>23</v>
      </c>
      <c r="G2" s="229"/>
      <c r="H2" s="229"/>
      <c r="J2" s="86"/>
      <c r="K2" s="228" t="s">
        <v>141</v>
      </c>
      <c r="L2" s="228"/>
      <c r="M2" s="228"/>
      <c r="N2" s="228"/>
      <c r="O2" s="229" t="s">
        <v>135</v>
      </c>
      <c r="P2" s="229"/>
      <c r="Q2" s="86"/>
      <c r="R2" s="86"/>
      <c r="S2" s="228" t="s">
        <v>142</v>
      </c>
      <c r="T2" s="228"/>
      <c r="U2" s="186">
        <v>2023</v>
      </c>
    </row>
    <row r="3" spans="2:21" x14ac:dyDescent="0.3">
      <c r="B3" s="228" t="s">
        <v>140</v>
      </c>
      <c r="C3" s="228"/>
      <c r="D3" s="228"/>
      <c r="E3" s="228"/>
      <c r="F3" s="229" t="s">
        <v>8</v>
      </c>
      <c r="G3" s="229"/>
      <c r="H3" s="229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2:21" ht="5.25" customHeight="1" x14ac:dyDescent="0.3"/>
    <row r="19" spans="2:24" ht="9" customHeight="1" x14ac:dyDescent="0.3"/>
    <row r="20" spans="2:24" s="86" customFormat="1" x14ac:dyDescent="0.3">
      <c r="B20" s="228" t="s">
        <v>141</v>
      </c>
      <c r="C20" s="228"/>
      <c r="D20" s="228"/>
      <c r="E20" s="228"/>
      <c r="F20" s="229" t="s">
        <v>126</v>
      </c>
      <c r="G20" s="229"/>
      <c r="H20" s="229"/>
      <c r="I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2:24" ht="16.5" customHeight="1" x14ac:dyDescent="0.3">
      <c r="B21" s="228" t="s">
        <v>143</v>
      </c>
      <c r="C21" s="228"/>
      <c r="D21" s="228"/>
      <c r="E21" s="228"/>
      <c r="F21" s="229">
        <v>2023</v>
      </c>
      <c r="G21" s="229"/>
      <c r="H21" s="229"/>
    </row>
    <row r="43" spans="2:2" x14ac:dyDescent="0.3">
      <c r="B43" s="129" t="s">
        <v>41</v>
      </c>
    </row>
  </sheetData>
  <mergeCells count="11">
    <mergeCell ref="B21:E21"/>
    <mergeCell ref="F21:H21"/>
    <mergeCell ref="B20:E20"/>
    <mergeCell ref="F20:H20"/>
    <mergeCell ref="S2:T2"/>
    <mergeCell ref="B2:E2"/>
    <mergeCell ref="B3:E3"/>
    <mergeCell ref="K2:N2"/>
    <mergeCell ref="O2:P2"/>
    <mergeCell ref="F2:H2"/>
    <mergeCell ref="F3:H3"/>
  </mergeCells>
  <dataValidations count="4">
    <dataValidation type="list" allowBlank="1" showInputMessage="1" showErrorMessage="1" sqref="F2:F3" xr:uid="{3E6CC772-2AAB-4AD0-A3D6-39532E581268}">
      <formula1>List1</formula1>
    </dataValidation>
    <dataValidation type="list" allowBlank="1" showInputMessage="1" showErrorMessage="1" sqref="O2:P2" xr:uid="{3D62F296-CEC4-4A85-A2D7-B4EEB2B274B5}">
      <formula1>List2</formula1>
    </dataValidation>
    <dataValidation type="list" allowBlank="1" showInputMessage="1" showErrorMessage="1" sqref="F20" xr:uid="{EBC18753-CD2B-4717-AE19-6F1D8CEF1D72}">
      <formula1>List3</formula1>
    </dataValidation>
    <dataValidation type="list" allowBlank="1" showInputMessage="1" showErrorMessage="1" sqref="U2 F21:H21" xr:uid="{B573E89E-1260-4782-85D0-47AE8C3580B4}">
      <formula1>List5</formula1>
    </dataValidation>
  </dataValidation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Cuprins</vt:lpstr>
      <vt:lpstr>Snapshots</vt:lpstr>
      <vt:lpstr>1.Pozitia Financiara</vt:lpstr>
      <vt:lpstr>hiddenPage</vt:lpstr>
      <vt:lpstr>2.Pozitia Financiara-Comparatii</vt:lpstr>
      <vt:lpstr>3.Sit.Rezultatului Global</vt:lpstr>
      <vt:lpstr>4.Sit.Fluxurilor de numerar</vt:lpstr>
      <vt:lpstr>5.Indicatori Financiari</vt:lpstr>
      <vt:lpstr>Grafice</vt:lpstr>
      <vt:lpstr>EBIT-EBITDA</vt:lpstr>
      <vt:lpstr>Data_Interim</vt:lpstr>
      <vt:lpstr>Data_Annual_BS</vt:lpstr>
      <vt:lpstr>List1</vt:lpstr>
      <vt:lpstr>List2</vt:lpstr>
      <vt:lpstr>List3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2023-08-10T14:02:09Z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2020-07-30T13:22:07.3590837Z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cc88fe09-2ce1-4a46-b69c-24207cdb3f9d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