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77" documentId="8_{90C454EA-6AC8-4495-9792-785675A46720}" xr6:coauthVersionLast="47" xr6:coauthVersionMax="47" xr10:uidLastSave="{805AB1E8-1A88-4B6F-BE5E-162C211BA4B2}"/>
  <bookViews>
    <workbookView xWindow="-110" yWindow="-110" windowWidth="25820" windowHeight="15500" tabRatio="795" xr2:uid="{00000000-000D-0000-FFFF-FFFF00000000}"/>
  </bookViews>
  <sheets>
    <sheet name="Contents" sheetId="6" r:id="rId1"/>
    <sheet name="Snapshots" sheetId="8" r:id="rId2"/>
    <sheet name="1.FinancialPosition" sheetId="1" r:id="rId3"/>
    <sheet name="2.Comprehensive income" sheetId="2" r:id="rId4"/>
    <sheet name="3.Statement of cash flow" sheetId="7" r:id="rId5"/>
    <sheet name="4.Financial ratios" sheetId="3" r:id="rId6"/>
    <sheet name="hiddenPage" sheetId="10" state="hidden" r:id="rId7"/>
    <sheet name="Charts" sheetId="9" r:id="rId8"/>
    <sheet name="EBIT-EBITDA" sheetId="5" r:id="rId9"/>
  </sheets>
  <definedNames>
    <definedName name="Area">INDEX(hiddenPage!XEW1048572:XEW1,MATCH(hiddenPage!B1048571,hiddenPage!XFD1048572:XFD1,0)):INDEX(hiddenPage!XEW1048572:XEW1,MATCH(hiddenPage!B1048572,hiddenPage!XFD1048572:XFD1,0))</definedName>
    <definedName name="Data">IF(hiddenPage!$J$25=4,Selection3,IF(hiddenPage!$J$25=5,Selection2,Selection1))</definedName>
    <definedName name="List1">hiddenPage!$L$3:$L$14</definedName>
    <definedName name="List2">hiddenPage!$N$3:$N$6</definedName>
    <definedName name="List3">hiddenPage!$X$3:$X$7</definedName>
    <definedName name="list9">hiddenPage!$A$67:$A$70</definedName>
    <definedName name="Selection1">hiddenPage!$A$25:$G$30</definedName>
    <definedName name="Selection2">hiddenPage!$A$25:$G$29</definedName>
    <definedName name="Selection3">hiddenPage!$A$25:$G$28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I16" i="2" s="1"/>
  <c r="I18" i="2" s="1"/>
  <c r="I21" i="2" s="1"/>
  <c r="H31" i="1"/>
  <c r="H32" i="1" s="1"/>
  <c r="H33" i="1" s="1"/>
  <c r="H27" i="1"/>
  <c r="H22" i="1"/>
  <c r="H16" i="1"/>
  <c r="H17" i="1" s="1"/>
  <c r="H8" i="1"/>
  <c r="D76" i="7"/>
  <c r="E76" i="7"/>
  <c r="F76" i="7"/>
  <c r="G76" i="7"/>
  <c r="H76" i="7"/>
  <c r="I76" i="7"/>
  <c r="C76" i="7"/>
  <c r="I65" i="7"/>
  <c r="H65" i="7"/>
  <c r="G65" i="7"/>
  <c r="G67" i="7" s="1"/>
  <c r="F65" i="7"/>
  <c r="E65" i="7"/>
  <c r="E67" i="7" s="1"/>
  <c r="E73" i="7" s="1"/>
  <c r="D65" i="7"/>
  <c r="D67" i="7" s="1"/>
  <c r="D73" i="7" s="1"/>
  <c r="C65" i="7"/>
  <c r="C67" i="7" s="1"/>
  <c r="C73" i="7" s="1"/>
  <c r="I57" i="7"/>
  <c r="H57" i="7"/>
  <c r="G57" i="7"/>
  <c r="E57" i="7"/>
  <c r="D57" i="7"/>
  <c r="C57" i="7"/>
  <c r="F52" i="7"/>
  <c r="F57" i="7" s="1"/>
  <c r="G38" i="7"/>
  <c r="F38" i="7"/>
  <c r="E38" i="7"/>
  <c r="D38" i="7"/>
  <c r="C38" i="7"/>
  <c r="I33" i="7"/>
  <c r="I38" i="7" s="1"/>
  <c r="H33" i="7"/>
  <c r="H38" i="7" s="1"/>
  <c r="G33" i="7"/>
  <c r="F33" i="7"/>
  <c r="E33" i="7"/>
  <c r="D33" i="7"/>
  <c r="C33" i="7"/>
  <c r="D2" i="7"/>
  <c r="E2" i="7" s="1"/>
  <c r="F2" i="7" s="1"/>
  <c r="G2" i="7" s="1"/>
  <c r="H2" i="7" s="1"/>
  <c r="I2" i="7" s="1"/>
  <c r="K10" i="8"/>
  <c r="K11" i="8"/>
  <c r="G16" i="2"/>
  <c r="F12" i="2"/>
  <c r="G12" i="2"/>
  <c r="F67" i="7" l="1"/>
  <c r="F73" i="7" s="1"/>
  <c r="H67" i="7"/>
  <c r="I67" i="7"/>
  <c r="D12" i="8"/>
  <c r="C12" i="8"/>
  <c r="B12" i="8"/>
  <c r="G12" i="8"/>
  <c r="G69" i="7" l="1"/>
  <c r="G73" i="7" s="1"/>
  <c r="K55" i="2"/>
  <c r="J55" i="2"/>
  <c r="L54" i="2"/>
  <c r="K54" i="2"/>
  <c r="J54" i="2"/>
  <c r="H69" i="7" l="1"/>
  <c r="H73" i="7" s="1"/>
  <c r="H12" i="2"/>
  <c r="H16" i="2" s="1"/>
  <c r="H18" i="2" s="1"/>
  <c r="H21" i="2" s="1"/>
  <c r="G18" i="2"/>
  <c r="G21" i="2" s="1"/>
  <c r="F16" i="2"/>
  <c r="F18" i="2" s="1"/>
  <c r="F21" i="2" s="1"/>
  <c r="E12" i="2"/>
  <c r="E16" i="2" s="1"/>
  <c r="E18" i="2" s="1"/>
  <c r="E21" i="2" s="1"/>
  <c r="D12" i="2"/>
  <c r="D16" i="2" s="1"/>
  <c r="D18" i="2" s="1"/>
  <c r="D21" i="2" s="1"/>
  <c r="C12" i="2"/>
  <c r="C16" i="2" s="1"/>
  <c r="C18" i="2" s="1"/>
  <c r="C21" i="2" s="1"/>
  <c r="D3" i="2"/>
  <c r="E3" i="2" s="1"/>
  <c r="F3" i="2" s="1"/>
  <c r="G3" i="2" s="1"/>
  <c r="H3" i="2" s="1"/>
  <c r="I3" i="2" s="1"/>
  <c r="C46" i="1"/>
  <c r="D46" i="1"/>
  <c r="E46" i="1"/>
  <c r="F46" i="1"/>
  <c r="G46" i="1"/>
  <c r="H46" i="1"/>
  <c r="B46" i="1"/>
  <c r="C39" i="1"/>
  <c r="D39" i="1"/>
  <c r="E39" i="1"/>
  <c r="F39" i="1"/>
  <c r="G39" i="1"/>
  <c r="H39" i="1"/>
  <c r="B39" i="1"/>
  <c r="D3" i="1"/>
  <c r="E3" i="1" s="1"/>
  <c r="F3" i="1" s="1"/>
  <c r="G3" i="1" s="1"/>
  <c r="H3" i="1" s="1"/>
  <c r="C3" i="1"/>
  <c r="E32" i="1"/>
  <c r="E33" i="1" s="1"/>
  <c r="C32" i="1"/>
  <c r="C33" i="1" s="1"/>
  <c r="G31" i="1"/>
  <c r="G32" i="1" s="1"/>
  <c r="G33" i="1" s="1"/>
  <c r="F31" i="1"/>
  <c r="E31" i="1"/>
  <c r="D31" i="1"/>
  <c r="C31" i="1"/>
  <c r="B31" i="1"/>
  <c r="G30" i="1"/>
  <c r="G29" i="1"/>
  <c r="G27" i="1"/>
  <c r="F27" i="1"/>
  <c r="F32" i="1" s="1"/>
  <c r="F33" i="1" s="1"/>
  <c r="E27" i="1"/>
  <c r="D27" i="1"/>
  <c r="D32" i="1" s="1"/>
  <c r="D33" i="1" s="1"/>
  <c r="C27" i="1"/>
  <c r="B27" i="1"/>
  <c r="B32" i="1" s="1"/>
  <c r="B33" i="1" s="1"/>
  <c r="G22" i="1"/>
  <c r="F22" i="1"/>
  <c r="E22" i="1"/>
  <c r="D22" i="1"/>
  <c r="C22" i="1"/>
  <c r="B22" i="1"/>
  <c r="D17" i="1"/>
  <c r="C17" i="1"/>
  <c r="B17" i="1"/>
  <c r="G16" i="1"/>
  <c r="G17" i="1" s="1"/>
  <c r="F16" i="1"/>
  <c r="F17" i="1" s="1"/>
  <c r="E16" i="1"/>
  <c r="E17" i="1" s="1"/>
  <c r="D16" i="1"/>
  <c r="C16" i="1"/>
  <c r="B16" i="1"/>
  <c r="G8" i="1"/>
  <c r="F8" i="1"/>
  <c r="E8" i="1"/>
  <c r="D8" i="1"/>
  <c r="C8" i="1"/>
  <c r="B8" i="1"/>
  <c r="I69" i="7" l="1"/>
  <c r="I73" i="7" s="1"/>
  <c r="H10" i="8"/>
  <c r="C10" i="8"/>
  <c r="D10" i="8"/>
  <c r="E10" i="8"/>
  <c r="F10" i="8"/>
  <c r="G10" i="8"/>
  <c r="B10" i="8"/>
  <c r="J11" i="8"/>
  <c r="I11" i="8"/>
  <c r="I31" i="2"/>
  <c r="H31" i="2"/>
  <c r="G31" i="2"/>
  <c r="F31" i="2"/>
  <c r="E31" i="2"/>
  <c r="D31" i="2"/>
  <c r="C31" i="2"/>
  <c r="B35" i="1"/>
  <c r="C35" i="1"/>
  <c r="D35" i="1"/>
  <c r="E35" i="1"/>
  <c r="F35" i="1"/>
  <c r="G35" i="1"/>
  <c r="I10" i="8" l="1"/>
  <c r="J10" i="8"/>
  <c r="G49" i="1"/>
  <c r="F49" i="1"/>
  <c r="E49" i="1"/>
  <c r="D49" i="1"/>
  <c r="C49" i="1"/>
  <c r="B49" i="1"/>
  <c r="G42" i="1"/>
  <c r="F42" i="1"/>
  <c r="E42" i="1"/>
  <c r="D42" i="1"/>
  <c r="C42" i="1"/>
  <c r="B42" i="1"/>
  <c r="D8" i="8"/>
  <c r="I46" i="1"/>
  <c r="I39" i="1"/>
  <c r="H25" i="2"/>
  <c r="G25" i="2"/>
  <c r="F25" i="2"/>
  <c r="E25" i="2"/>
  <c r="D25" i="2"/>
  <c r="C25" i="2"/>
  <c r="E8" i="8"/>
  <c r="L14" i="2"/>
  <c r="K14" i="2"/>
  <c r="J14" i="2"/>
  <c r="H35" i="1" l="1"/>
  <c r="F8" i="8"/>
  <c r="G8" i="8"/>
  <c r="B8" i="8"/>
  <c r="C8" i="8"/>
  <c r="H8" i="8" l="1"/>
  <c r="J11" i="3"/>
  <c r="I11" i="3"/>
  <c r="K11" i="3"/>
  <c r="F6" i="3"/>
  <c r="F15" i="3" s="1"/>
  <c r="G6" i="3"/>
  <c r="G15" i="3" s="1"/>
  <c r="H6" i="3"/>
  <c r="H15" i="3" s="1"/>
  <c r="I6" i="3"/>
  <c r="I15" i="3" s="1"/>
  <c r="J6" i="3"/>
  <c r="J15" i="3" s="1"/>
  <c r="E6" i="3"/>
  <c r="E16" i="3" l="1"/>
  <c r="E15" i="3"/>
  <c r="K8" i="8"/>
  <c r="J8" i="8"/>
  <c r="I8" i="8"/>
  <c r="H49" i="1"/>
  <c r="I47" i="1" s="1"/>
  <c r="L48" i="1"/>
  <c r="K48" i="1"/>
  <c r="J48" i="1"/>
  <c r="L47" i="1"/>
  <c r="K47" i="1"/>
  <c r="J47" i="1"/>
  <c r="J46" i="1"/>
  <c r="H42" i="1"/>
  <c r="I42" i="1" s="1"/>
  <c r="L41" i="1"/>
  <c r="K41" i="1"/>
  <c r="J41" i="1"/>
  <c r="L40" i="1"/>
  <c r="K40" i="1"/>
  <c r="J40" i="1"/>
  <c r="J39" i="1"/>
  <c r="L29" i="1"/>
  <c r="I48" i="1" l="1"/>
  <c r="I49" i="1"/>
  <c r="I40" i="1"/>
  <c r="I41" i="1"/>
  <c r="J49" i="1"/>
  <c r="L49" i="1"/>
  <c r="K49" i="1"/>
  <c r="K42" i="1"/>
  <c r="L42" i="1"/>
  <c r="J42" i="1"/>
  <c r="L5" i="2" l="1"/>
  <c r="L6" i="2"/>
  <c r="L7" i="2"/>
  <c r="L8" i="2"/>
  <c r="L9" i="2"/>
  <c r="L10" i="2"/>
  <c r="L11" i="2"/>
  <c r="L13" i="2"/>
  <c r="L17" i="2"/>
  <c r="L20" i="2"/>
  <c r="J13" i="2"/>
  <c r="J15" i="2"/>
  <c r="J17" i="2"/>
  <c r="J19" i="2"/>
  <c r="J20" i="2"/>
  <c r="I62" i="2"/>
  <c r="I63" i="2" s="1"/>
  <c r="H62" i="2"/>
  <c r="H63" i="2" s="1"/>
  <c r="G62" i="2"/>
  <c r="G63" i="2" s="1"/>
  <c r="F62" i="2"/>
  <c r="F63" i="2" s="1"/>
  <c r="E62" i="2"/>
  <c r="E63" i="2" s="1"/>
  <c r="D62" i="2"/>
  <c r="D63" i="2" s="1"/>
  <c r="C62" i="2"/>
  <c r="C63" i="2" s="1"/>
  <c r="K61" i="2"/>
  <c r="J61" i="2"/>
  <c r="K60" i="2"/>
  <c r="J60" i="2"/>
  <c r="K59" i="2"/>
  <c r="J59" i="2"/>
  <c r="K58" i="2"/>
  <c r="J58" i="2"/>
  <c r="K57" i="2"/>
  <c r="J57" i="2"/>
  <c r="K56" i="2"/>
  <c r="J56" i="2"/>
  <c r="L53" i="2"/>
  <c r="K53" i="2"/>
  <c r="J53" i="2"/>
  <c r="L62" i="2" l="1"/>
  <c r="L12" i="2"/>
  <c r="L21" i="2"/>
  <c r="J62" i="2"/>
  <c r="J12" i="2"/>
  <c r="K62" i="2"/>
  <c r="L18" i="2" l="1"/>
  <c r="L16" i="2"/>
  <c r="B4" i="8" l="1"/>
  <c r="C4" i="8"/>
  <c r="D4" i="8"/>
  <c r="E4" i="8"/>
  <c r="F4" i="8"/>
  <c r="G4" i="8"/>
  <c r="H4" i="8"/>
  <c r="J4" i="8" s="1"/>
  <c r="C4" i="5"/>
  <c r="D4" i="5"/>
  <c r="E4" i="5"/>
  <c r="F4" i="5"/>
  <c r="G4" i="5"/>
  <c r="N21" i="8" l="1"/>
  <c r="I4" i="8"/>
  <c r="K4" i="8"/>
  <c r="F3" i="3"/>
  <c r="G3" i="3" s="1"/>
  <c r="H3" i="3" s="1"/>
  <c r="I3" i="3" s="1"/>
  <c r="J3" i="3" s="1"/>
  <c r="K3" i="3" s="1"/>
  <c r="H4" i="5"/>
  <c r="D2" i="5"/>
  <c r="E2" i="5" s="1"/>
  <c r="F2" i="5" s="1"/>
  <c r="G2" i="5" s="1"/>
  <c r="H2" i="5" s="1"/>
  <c r="I2" i="5" s="1"/>
  <c r="C66" i="10"/>
  <c r="D66" i="10" s="1"/>
  <c r="E66" i="10" s="1"/>
  <c r="F66" i="10" s="1"/>
  <c r="G66" i="10" s="1"/>
  <c r="H66" i="10" s="1"/>
  <c r="I25" i="2"/>
  <c r="G3" i="5"/>
  <c r="G6" i="5" s="1"/>
  <c r="E3" i="5" l="1"/>
  <c r="E6" i="5" s="1"/>
  <c r="E9" i="5" s="1"/>
  <c r="G5" i="3" s="1"/>
  <c r="D3" i="5"/>
  <c r="D6" i="5" s="1"/>
  <c r="F4" i="3" s="1"/>
  <c r="C3" i="5"/>
  <c r="C6" i="5" s="1"/>
  <c r="C9" i="5" s="1"/>
  <c r="E5" i="3" s="1"/>
  <c r="F3" i="5"/>
  <c r="F6" i="5" s="1"/>
  <c r="F9" i="5" s="1"/>
  <c r="H5" i="3" s="1"/>
  <c r="H3" i="5"/>
  <c r="H6" i="5" s="1"/>
  <c r="G9" i="5"/>
  <c r="I5" i="3" s="1"/>
  <c r="I4" i="3"/>
  <c r="D9" i="5" l="1"/>
  <c r="F5" i="3" s="1"/>
  <c r="G4" i="3"/>
  <c r="H4" i="3"/>
  <c r="E4" i="3"/>
  <c r="H9" i="5"/>
  <c r="J5" i="3" s="1"/>
  <c r="J4" i="3"/>
  <c r="F11" i="3"/>
  <c r="E11" i="3"/>
  <c r="A90" i="10"/>
  <c r="G11" i="3" l="1"/>
  <c r="H11" i="3"/>
  <c r="J16" i="2" l="1"/>
  <c r="I4" i="5"/>
  <c r="I7" i="8" l="1"/>
  <c r="B70" i="10" l="1"/>
  <c r="B69" i="10"/>
  <c r="B68" i="10"/>
  <c r="B67" i="10"/>
  <c r="A63" i="10"/>
  <c r="I68" i="10"/>
  <c r="I69" i="10"/>
  <c r="I70" i="10"/>
  <c r="I67" i="10"/>
  <c r="H75" i="10"/>
  <c r="G75" i="10"/>
  <c r="F75" i="10"/>
  <c r="E75" i="10"/>
  <c r="D75" i="10"/>
  <c r="C75" i="10"/>
  <c r="B75" i="10"/>
  <c r="C40" i="2" l="1"/>
  <c r="N37" i="2" s="1"/>
  <c r="B76" i="10"/>
  <c r="E17" i="3"/>
  <c r="N39" i="2" l="1"/>
  <c r="N38" i="2"/>
  <c r="N36" i="2"/>
  <c r="H18" i="8"/>
  <c r="K18" i="8" s="1"/>
  <c r="G18" i="8"/>
  <c r="F18" i="8"/>
  <c r="E18" i="8"/>
  <c r="D18" i="8"/>
  <c r="C18" i="8"/>
  <c r="B18" i="8"/>
  <c r="N40" i="2" l="1"/>
  <c r="I18" i="8"/>
  <c r="K7" i="8"/>
  <c r="J7" i="8"/>
  <c r="C3" i="8"/>
  <c r="D3" i="8" s="1"/>
  <c r="E3" i="8" s="1"/>
  <c r="F3" i="8" s="1"/>
  <c r="G3" i="8" s="1"/>
  <c r="H3" i="8" s="1"/>
  <c r="A44" i="10"/>
  <c r="A45" i="10" s="1"/>
  <c r="A46" i="10" s="1"/>
  <c r="A47" i="10" s="1"/>
  <c r="A48" i="10" s="1"/>
  <c r="B9" i="10"/>
  <c r="B82" i="10" s="1"/>
  <c r="C3" i="10"/>
  <c r="C9" i="10" s="1"/>
  <c r="D35" i="2"/>
  <c r="D44" i="2" s="1"/>
  <c r="D52" i="2" s="1"/>
  <c r="E35" i="2"/>
  <c r="F35" i="2"/>
  <c r="F44" i="2" s="1"/>
  <c r="F52" i="2" s="1"/>
  <c r="G35" i="2"/>
  <c r="G44" i="2" s="1"/>
  <c r="G52" i="2" s="1"/>
  <c r="H35" i="2"/>
  <c r="I35" i="2"/>
  <c r="I44" i="2" s="1"/>
  <c r="I52" i="2" s="1"/>
  <c r="C35" i="2"/>
  <c r="O25" i="2"/>
  <c r="P25" i="2"/>
  <c r="Q25" i="2"/>
  <c r="R25" i="2"/>
  <c r="S25" i="2"/>
  <c r="N25" i="2"/>
  <c r="T25" i="2"/>
  <c r="H47" i="2"/>
  <c r="H48" i="2" s="1"/>
  <c r="G47" i="2"/>
  <c r="G48" i="2" s="1"/>
  <c r="F47" i="2"/>
  <c r="F48" i="2" s="1"/>
  <c r="E47" i="2"/>
  <c r="E48" i="2" s="1"/>
  <c r="D47" i="2"/>
  <c r="D48" i="2" s="1"/>
  <c r="C47" i="2"/>
  <c r="C48" i="2" s="1"/>
  <c r="C41" i="2"/>
  <c r="L10" i="1"/>
  <c r="L11" i="1"/>
  <c r="L12" i="1"/>
  <c r="L14" i="1"/>
  <c r="L15" i="1"/>
  <c r="L9" i="1"/>
  <c r="I4" i="1"/>
  <c r="O35" i="2" l="1"/>
  <c r="N35" i="2"/>
  <c r="C44" i="2"/>
  <c r="C52" i="2" s="1"/>
  <c r="S35" i="2"/>
  <c r="H44" i="2"/>
  <c r="H52" i="2" s="1"/>
  <c r="J52" i="2" s="1"/>
  <c r="T35" i="2"/>
  <c r="P35" i="2"/>
  <c r="E44" i="2"/>
  <c r="E52" i="2" s="1"/>
  <c r="Q35" i="2"/>
  <c r="R35" i="2"/>
  <c r="J18" i="2"/>
  <c r="D3" i="10"/>
  <c r="E3" i="10" s="1"/>
  <c r="F3" i="10" s="1"/>
  <c r="G3" i="10" s="1"/>
  <c r="H3" i="10" s="1"/>
  <c r="H9" i="10" s="1"/>
  <c r="H15" i="10" s="1"/>
  <c r="H24" i="10" s="1"/>
  <c r="H53" i="10" s="1"/>
  <c r="C82" i="10"/>
  <c r="C15" i="10"/>
  <c r="C24" i="10" s="1"/>
  <c r="C53" i="10" s="1"/>
  <c r="B15" i="10"/>
  <c r="B24" i="10" s="1"/>
  <c r="B53" i="10" s="1"/>
  <c r="H67" i="10"/>
  <c r="I40" i="2"/>
  <c r="T39" i="2" s="1"/>
  <c r="H69" i="10"/>
  <c r="H70" i="10"/>
  <c r="H68" i="10"/>
  <c r="C70" i="10"/>
  <c r="D67" i="10"/>
  <c r="E40" i="2"/>
  <c r="E41" i="2" s="1"/>
  <c r="E67" i="10"/>
  <c r="F40" i="2"/>
  <c r="F41" i="2" s="1"/>
  <c r="F67" i="10"/>
  <c r="G40" i="2"/>
  <c r="G41" i="2" s="1"/>
  <c r="D70" i="10"/>
  <c r="E70" i="10"/>
  <c r="G68" i="10"/>
  <c r="C69" i="10"/>
  <c r="D69" i="10"/>
  <c r="F70" i="10"/>
  <c r="J37" i="2"/>
  <c r="C68" i="10"/>
  <c r="E69" i="10"/>
  <c r="G70" i="10"/>
  <c r="F68" i="10"/>
  <c r="G67" i="10"/>
  <c r="H40" i="2"/>
  <c r="K37" i="2"/>
  <c r="D68" i="10"/>
  <c r="F69" i="10"/>
  <c r="L39" i="2"/>
  <c r="L37" i="2"/>
  <c r="D40" i="2"/>
  <c r="D41" i="2" s="1"/>
  <c r="C67" i="10"/>
  <c r="E68" i="10"/>
  <c r="L38" i="2"/>
  <c r="G69" i="10"/>
  <c r="I3" i="5"/>
  <c r="J18" i="8"/>
  <c r="J39" i="2"/>
  <c r="K39" i="2"/>
  <c r="J38" i="2"/>
  <c r="K38" i="2"/>
  <c r="J35" i="2"/>
  <c r="C32" i="2"/>
  <c r="H32" i="2"/>
  <c r="D32" i="2"/>
  <c r="E32" i="2"/>
  <c r="J36" i="2"/>
  <c r="F32" i="2"/>
  <c r="G32" i="2"/>
  <c r="K36" i="2"/>
  <c r="L36" i="2"/>
  <c r="L27" i="2"/>
  <c r="L4" i="1"/>
  <c r="H82" i="10" l="1"/>
  <c r="D9" i="10"/>
  <c r="E9" i="10"/>
  <c r="E82" i="10" s="1"/>
  <c r="F9" i="10"/>
  <c r="G9" i="10"/>
  <c r="C76" i="10"/>
  <c r="C78" i="10" s="1"/>
  <c r="T38" i="2"/>
  <c r="P37" i="2"/>
  <c r="O36" i="2"/>
  <c r="J40" i="2"/>
  <c r="R39" i="2"/>
  <c r="P39" i="2"/>
  <c r="Q39" i="2"/>
  <c r="S38" i="2"/>
  <c r="P38" i="2"/>
  <c r="Q37" i="2"/>
  <c r="Q36" i="2"/>
  <c r="R37" i="2"/>
  <c r="R36" i="2"/>
  <c r="L40" i="2"/>
  <c r="R38" i="2"/>
  <c r="T37" i="2"/>
  <c r="J21" i="2"/>
  <c r="F82" i="10"/>
  <c r="F15" i="10"/>
  <c r="F24" i="10" s="1"/>
  <c r="F53" i="10" s="1"/>
  <c r="G82" i="10"/>
  <c r="G15" i="10"/>
  <c r="G24" i="10" s="1"/>
  <c r="G53" i="10" s="1"/>
  <c r="D82" i="10"/>
  <c r="D15" i="10"/>
  <c r="D24" i="10" s="1"/>
  <c r="D53" i="10" s="1"/>
  <c r="H76" i="10"/>
  <c r="H77" i="10" s="1"/>
  <c r="T36" i="2"/>
  <c r="S39" i="2"/>
  <c r="S37" i="2"/>
  <c r="S36" i="2"/>
  <c r="E76" i="10"/>
  <c r="D76" i="10"/>
  <c r="Q38" i="2"/>
  <c r="P36" i="2"/>
  <c r="K40" i="2"/>
  <c r="H41" i="2"/>
  <c r="O38" i="2"/>
  <c r="O39" i="2"/>
  <c r="G76" i="10"/>
  <c r="O37" i="2"/>
  <c r="F76" i="10"/>
  <c r="J46" i="2"/>
  <c r="J45" i="2"/>
  <c r="J30" i="2"/>
  <c r="J29" i="2"/>
  <c r="J28" i="2"/>
  <c r="J27" i="2"/>
  <c r="J11" i="2"/>
  <c r="J10" i="2"/>
  <c r="J9" i="2"/>
  <c r="J8" i="2"/>
  <c r="J7" i="2"/>
  <c r="J6" i="2"/>
  <c r="J5" i="2"/>
  <c r="J4" i="2"/>
  <c r="J3" i="2"/>
  <c r="J25" i="2"/>
  <c r="J44" i="2"/>
  <c r="E15" i="10" l="1"/>
  <c r="E24" i="10" s="1"/>
  <c r="E53" i="10" s="1"/>
  <c r="D78" i="10"/>
  <c r="R40" i="2"/>
  <c r="F78" i="10"/>
  <c r="O40" i="2"/>
  <c r="S40" i="2"/>
  <c r="Q40" i="2"/>
  <c r="P40" i="2"/>
  <c r="T40" i="2"/>
  <c r="G78" i="10"/>
  <c r="H78" i="10"/>
  <c r="E78" i="10"/>
  <c r="AD24" i="10"/>
  <c r="AD25" i="10"/>
  <c r="AD30" i="10"/>
  <c r="AD34" i="10"/>
  <c r="AD35" i="10"/>
  <c r="AD36" i="10"/>
  <c r="AD15" i="10"/>
  <c r="AD16" i="10"/>
  <c r="AD17" i="10"/>
  <c r="AD18" i="10"/>
  <c r="AD19" i="10"/>
  <c r="AD20" i="10"/>
  <c r="AD21" i="10"/>
  <c r="AD22" i="10"/>
  <c r="AD23" i="10"/>
  <c r="AD13" i="10"/>
  <c r="C14" i="10" l="1"/>
  <c r="D14" i="10"/>
  <c r="E14" i="10"/>
  <c r="F14" i="10"/>
  <c r="G14" i="10"/>
  <c r="H14" i="10"/>
  <c r="B14" i="10"/>
  <c r="A13" i="10"/>
  <c r="Q66" i="10" l="1"/>
  <c r="L55" i="10"/>
  <c r="L56" i="10" s="1"/>
  <c r="L57" i="10" s="1"/>
  <c r="L58" i="10" s="1"/>
  <c r="L59" i="10" s="1"/>
  <c r="L60" i="10" s="1"/>
  <c r="B52" i="10"/>
  <c r="D52" i="10" l="1"/>
  <c r="C52" i="10"/>
  <c r="H8" i="10"/>
  <c r="H5" i="8"/>
  <c r="K6" i="3"/>
  <c r="I6" i="5"/>
  <c r="I9" i="5" s="1"/>
  <c r="H6" i="8" s="1"/>
  <c r="I47" i="2"/>
  <c r="I48" i="2" s="1"/>
  <c r="L46" i="2"/>
  <c r="K46" i="2"/>
  <c r="L45" i="2"/>
  <c r="K45" i="2"/>
  <c r="L30" i="2"/>
  <c r="K30" i="2"/>
  <c r="L29" i="2"/>
  <c r="K29" i="2"/>
  <c r="L28" i="2"/>
  <c r="K28" i="2"/>
  <c r="K27" i="2"/>
  <c r="K20" i="2"/>
  <c r="K19" i="2"/>
  <c r="K17" i="2"/>
  <c r="K15" i="2"/>
  <c r="K13" i="2"/>
  <c r="K11" i="2"/>
  <c r="K10" i="2"/>
  <c r="K9" i="2"/>
  <c r="K8" i="2"/>
  <c r="K7" i="2"/>
  <c r="K6" i="2"/>
  <c r="K5" i="2"/>
  <c r="L4" i="2"/>
  <c r="K4" i="2"/>
  <c r="L30" i="1"/>
  <c r="K30" i="1"/>
  <c r="J30" i="1"/>
  <c r="K29" i="1"/>
  <c r="J29" i="1"/>
  <c r="L28" i="1"/>
  <c r="K28" i="1"/>
  <c r="J28" i="1"/>
  <c r="L26" i="1"/>
  <c r="K26" i="1"/>
  <c r="J26" i="1"/>
  <c r="L25" i="1"/>
  <c r="K25" i="1"/>
  <c r="J25" i="1"/>
  <c r="K24" i="1"/>
  <c r="J24" i="1"/>
  <c r="L23" i="1"/>
  <c r="K23" i="1"/>
  <c r="J23" i="1"/>
  <c r="L21" i="1"/>
  <c r="K21" i="1"/>
  <c r="J21" i="1"/>
  <c r="L20" i="1"/>
  <c r="K20" i="1"/>
  <c r="J20" i="1"/>
  <c r="L19" i="1"/>
  <c r="K19" i="1"/>
  <c r="J19" i="1"/>
  <c r="L18" i="1"/>
  <c r="K18" i="1"/>
  <c r="J18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L7" i="1"/>
  <c r="K7" i="1"/>
  <c r="J7" i="1"/>
  <c r="L6" i="1"/>
  <c r="K6" i="1"/>
  <c r="J6" i="1"/>
  <c r="L5" i="1"/>
  <c r="K5" i="1"/>
  <c r="J5" i="1"/>
  <c r="K4" i="1"/>
  <c r="J4" i="1"/>
  <c r="J3" i="1"/>
  <c r="I3" i="8"/>
  <c r="I41" i="2" l="1"/>
  <c r="K16" i="3"/>
  <c r="K15" i="3"/>
  <c r="K12" i="2"/>
  <c r="K14" i="3"/>
  <c r="T27" i="2"/>
  <c r="I32" i="2"/>
  <c r="H13" i="8"/>
  <c r="K13" i="8" s="1"/>
  <c r="T28" i="2"/>
  <c r="K4" i="3"/>
  <c r="T26" i="2"/>
  <c r="T29" i="2"/>
  <c r="K5" i="3"/>
  <c r="K7" i="3" s="1"/>
  <c r="I31" i="1"/>
  <c r="T30" i="2"/>
  <c r="K12" i="3"/>
  <c r="I27" i="1"/>
  <c r="K9" i="3"/>
  <c r="I22" i="1"/>
  <c r="K10" i="3"/>
  <c r="H14" i="8"/>
  <c r="K14" i="8" s="1"/>
  <c r="I16" i="1"/>
  <c r="E52" i="10"/>
  <c r="H15" i="8"/>
  <c r="K15" i="8" s="1"/>
  <c r="I8" i="1"/>
  <c r="A32" i="10"/>
  <c r="D32" i="10" s="1"/>
  <c r="A34" i="10"/>
  <c r="A35" i="10" s="1"/>
  <c r="A36" i="10" s="1"/>
  <c r="A37" i="10" s="1"/>
  <c r="A38" i="10" s="1"/>
  <c r="A39" i="10" s="1"/>
  <c r="K8" i="3" l="1"/>
  <c r="T31" i="2"/>
  <c r="H16" i="8"/>
  <c r="K16" i="8" s="1"/>
  <c r="I32" i="1"/>
  <c r="F52" i="10"/>
  <c r="H9" i="8"/>
  <c r="H12" i="8" s="1"/>
  <c r="K12" i="8" s="1"/>
  <c r="K18" i="3"/>
  <c r="K17" i="3"/>
  <c r="I29" i="1"/>
  <c r="I14" i="1"/>
  <c r="I6" i="1"/>
  <c r="I20" i="1"/>
  <c r="I12" i="1"/>
  <c r="I23" i="1"/>
  <c r="I7" i="1"/>
  <c r="I28" i="1"/>
  <c r="I21" i="1"/>
  <c r="I13" i="1"/>
  <c r="I5" i="1"/>
  <c r="I17" i="1"/>
  <c r="I9" i="1"/>
  <c r="I24" i="1"/>
  <c r="I15" i="1"/>
  <c r="I19" i="1"/>
  <c r="I11" i="1"/>
  <c r="I26" i="1"/>
  <c r="I18" i="1"/>
  <c r="I10" i="1"/>
  <c r="I25" i="1"/>
  <c r="I30" i="1"/>
  <c r="K19" i="3"/>
  <c r="B39" i="10"/>
  <c r="I12" i="8" l="1"/>
  <c r="J12" i="8"/>
  <c r="H17" i="8"/>
  <c r="K17" i="8" s="1"/>
  <c r="K13" i="3"/>
  <c r="I33" i="1"/>
  <c r="H52" i="10"/>
  <c r="G52" i="10"/>
  <c r="AD4" i="10"/>
  <c r="AD5" i="10"/>
  <c r="AD6" i="10"/>
  <c r="AD3" i="10"/>
  <c r="I57" i="10" l="1"/>
  <c r="I55" i="10"/>
  <c r="I60" i="10"/>
  <c r="I59" i="10"/>
  <c r="I56" i="10"/>
  <c r="I58" i="10"/>
  <c r="I54" i="10"/>
  <c r="AA4" i="10"/>
  <c r="AA5" i="10" s="1"/>
  <c r="AA6" i="10" s="1"/>
  <c r="AA7" i="10" s="1"/>
  <c r="I9" i="10"/>
  <c r="C8" i="10"/>
  <c r="D8" i="10"/>
  <c r="E8" i="10"/>
  <c r="F8" i="10"/>
  <c r="G8" i="10"/>
  <c r="B8" i="10"/>
  <c r="A8" i="10"/>
  <c r="A5" i="10"/>
  <c r="H5" i="10" s="1"/>
  <c r="A4" i="10"/>
  <c r="H4" i="10" s="1"/>
  <c r="B4" i="10" l="1"/>
  <c r="J58" i="10"/>
  <c r="J59" i="10"/>
  <c r="J56" i="10"/>
  <c r="J60" i="10"/>
  <c r="J55" i="10"/>
  <c r="J54" i="10"/>
  <c r="J57" i="10"/>
  <c r="AA8" i="10"/>
  <c r="AD7" i="10"/>
  <c r="S3" i="10"/>
  <c r="S5" i="10"/>
  <c r="S9" i="10"/>
  <c r="S8" i="10"/>
  <c r="S6" i="10"/>
  <c r="S10" i="10"/>
  <c r="S7" i="10"/>
  <c r="D7" i="10"/>
  <c r="S4" i="10"/>
  <c r="A1" i="10"/>
  <c r="C5" i="8"/>
  <c r="D5" i="8"/>
  <c r="E5" i="8"/>
  <c r="F5" i="8"/>
  <c r="G5" i="8"/>
  <c r="B5" i="8"/>
  <c r="K5" i="8" l="1"/>
  <c r="I5" i="8"/>
  <c r="N60" i="10"/>
  <c r="Q60" i="10" s="1"/>
  <c r="N59" i="10"/>
  <c r="Q59" i="10" s="1"/>
  <c r="N57" i="10"/>
  <c r="Q57" i="10" s="1"/>
  <c r="N54" i="10"/>
  <c r="Q54" i="10" s="1"/>
  <c r="N58" i="10"/>
  <c r="Q58" i="10" s="1"/>
  <c r="N55" i="10"/>
  <c r="Q55" i="10" s="1"/>
  <c r="N56" i="10"/>
  <c r="Q56" i="10" s="1"/>
  <c r="J5" i="8"/>
  <c r="AA9" i="10"/>
  <c r="AD8" i="10"/>
  <c r="T4" i="10"/>
  <c r="U4" i="10" s="1"/>
  <c r="A11" i="10" s="1"/>
  <c r="T8" i="10"/>
  <c r="U8" i="10" s="1"/>
  <c r="T10" i="10"/>
  <c r="U10" i="10" s="1"/>
  <c r="T7" i="10"/>
  <c r="U7" i="10" s="1"/>
  <c r="T5" i="10"/>
  <c r="U5" i="10" s="1"/>
  <c r="T9" i="10"/>
  <c r="U9" i="10" s="1"/>
  <c r="T6" i="10"/>
  <c r="U6" i="10" s="1"/>
  <c r="T3" i="10"/>
  <c r="U3" i="10" s="1"/>
  <c r="A10" i="10" s="1"/>
  <c r="H11" i="10" l="1"/>
  <c r="A84" i="10"/>
  <c r="Q61" i="10"/>
  <c r="AA10" i="10"/>
  <c r="AD9" i="10"/>
  <c r="A83" i="10"/>
  <c r="J16" i="3"/>
  <c r="H10" i="10" l="1"/>
  <c r="B10" i="10"/>
  <c r="R54" i="10"/>
  <c r="Q64" i="10"/>
  <c r="R58" i="10"/>
  <c r="R55" i="10"/>
  <c r="R56" i="10"/>
  <c r="R60" i="10"/>
  <c r="R57" i="10"/>
  <c r="J14" i="3"/>
  <c r="K26" i="2"/>
  <c r="J26" i="2"/>
  <c r="L26" i="2"/>
  <c r="K16" i="2"/>
  <c r="S29" i="2"/>
  <c r="J31" i="2"/>
  <c r="L31" i="2"/>
  <c r="K31" i="2"/>
  <c r="R59" i="10"/>
  <c r="L47" i="2"/>
  <c r="J47" i="2"/>
  <c r="K47" i="2"/>
  <c r="G11" i="10"/>
  <c r="J31" i="1"/>
  <c r="L31" i="1"/>
  <c r="K31" i="1"/>
  <c r="L8" i="1"/>
  <c r="J8" i="1"/>
  <c r="K8" i="1"/>
  <c r="L16" i="1"/>
  <c r="K16" i="1"/>
  <c r="J16" i="1"/>
  <c r="J22" i="1"/>
  <c r="L22" i="1"/>
  <c r="K22" i="1"/>
  <c r="K27" i="1"/>
  <c r="L27" i="1"/>
  <c r="J27" i="1"/>
  <c r="G15" i="8"/>
  <c r="B38" i="10"/>
  <c r="G48" i="10" s="1"/>
  <c r="G4" i="10"/>
  <c r="AA11" i="10"/>
  <c r="AD10" i="10"/>
  <c r="A7" i="10"/>
  <c r="G9" i="8"/>
  <c r="G5" i="10"/>
  <c r="G13" i="8"/>
  <c r="G14" i="8"/>
  <c r="S27" i="2"/>
  <c r="J7" i="3"/>
  <c r="G6" i="8"/>
  <c r="J12" i="3"/>
  <c r="J10" i="3"/>
  <c r="J17" i="3"/>
  <c r="S26" i="2"/>
  <c r="S28" i="2"/>
  <c r="S30" i="2"/>
  <c r="J19" i="3"/>
  <c r="J9" i="3"/>
  <c r="J18" i="3"/>
  <c r="K9" i="8" l="1"/>
  <c r="I9" i="8"/>
  <c r="H86" i="10"/>
  <c r="H84" i="10" s="1"/>
  <c r="I13" i="8"/>
  <c r="I14" i="8"/>
  <c r="I15" i="8"/>
  <c r="K6" i="8"/>
  <c r="I6" i="8"/>
  <c r="K21" i="2"/>
  <c r="K18" i="2"/>
  <c r="J17" i="1"/>
  <c r="L17" i="1"/>
  <c r="K17" i="1"/>
  <c r="L32" i="1"/>
  <c r="K32" i="1"/>
  <c r="J32" i="1"/>
  <c r="G10" i="10"/>
  <c r="D48" i="10"/>
  <c r="E48" i="10"/>
  <c r="J6" i="8"/>
  <c r="J9" i="8"/>
  <c r="J14" i="8"/>
  <c r="J13" i="8"/>
  <c r="J15" i="8"/>
  <c r="AA12" i="10"/>
  <c r="AD11" i="10"/>
  <c r="J8" i="3"/>
  <c r="G16" i="8"/>
  <c r="S31" i="2"/>
  <c r="I16" i="3"/>
  <c r="H16" i="3"/>
  <c r="F16" i="3"/>
  <c r="F14" i="3"/>
  <c r="E6" i="8"/>
  <c r="D6" i="8"/>
  <c r="H83" i="10" l="1"/>
  <c r="G17" i="8"/>
  <c r="I16" i="8"/>
  <c r="G86" i="10"/>
  <c r="G84" i="10" s="1"/>
  <c r="L33" i="1"/>
  <c r="K33" i="1"/>
  <c r="J33" i="1"/>
  <c r="J16" i="8"/>
  <c r="AA13" i="10"/>
  <c r="AD12" i="10"/>
  <c r="J13" i="3"/>
  <c r="H7" i="3"/>
  <c r="B6" i="8"/>
  <c r="G14" i="3"/>
  <c r="H14" i="3"/>
  <c r="E14" i="3"/>
  <c r="G7" i="3"/>
  <c r="G16" i="3"/>
  <c r="P28" i="2"/>
  <c r="O29" i="2"/>
  <c r="N26" i="2"/>
  <c r="E7" i="3" l="1"/>
  <c r="G83" i="10"/>
  <c r="I17" i="8"/>
  <c r="J17" i="8"/>
  <c r="AA15" i="10"/>
  <c r="AA24" i="10" s="1"/>
  <c r="AA25" i="10" s="1"/>
  <c r="AA26" i="10" s="1"/>
  <c r="AA14" i="10"/>
  <c r="AD14" i="10" s="1"/>
  <c r="P26" i="2"/>
  <c r="R26" i="2"/>
  <c r="R28" i="2"/>
  <c r="R30" i="2"/>
  <c r="R29" i="2"/>
  <c r="R27" i="2"/>
  <c r="O27" i="2"/>
  <c r="I14" i="3"/>
  <c r="F7" i="3"/>
  <c r="C6" i="8"/>
  <c r="O30" i="2"/>
  <c r="N28" i="2"/>
  <c r="O26" i="2"/>
  <c r="N27" i="2"/>
  <c r="Q28" i="2"/>
  <c r="P29" i="2"/>
  <c r="N30" i="2"/>
  <c r="Q26" i="2"/>
  <c r="P27" i="2"/>
  <c r="O28" i="2"/>
  <c r="N29" i="2"/>
  <c r="P30" i="2"/>
  <c r="Q29" i="2"/>
  <c r="Q27" i="2"/>
  <c r="Q30" i="2"/>
  <c r="B14" i="8"/>
  <c r="C14" i="8"/>
  <c r="D14" i="8"/>
  <c r="D11" i="10"/>
  <c r="C11" i="10"/>
  <c r="B11" i="10"/>
  <c r="E11" i="10"/>
  <c r="E14" i="8"/>
  <c r="AA27" i="10" l="1"/>
  <c r="AD27" i="10" s="1"/>
  <c r="AD26" i="10"/>
  <c r="B86" i="10"/>
  <c r="B83" i="10" s="1"/>
  <c r="AA28" i="10"/>
  <c r="AD28" i="10" s="1"/>
  <c r="C15" i="8"/>
  <c r="B34" i="10"/>
  <c r="C4" i="10"/>
  <c r="E15" i="8"/>
  <c r="B36" i="10"/>
  <c r="E4" i="10"/>
  <c r="D13" i="8"/>
  <c r="C13" i="8"/>
  <c r="C5" i="10"/>
  <c r="B15" i="8"/>
  <c r="B33" i="10"/>
  <c r="F42" i="10" s="1"/>
  <c r="G42" i="10" s="1"/>
  <c r="E13" i="8"/>
  <c r="D15" i="8"/>
  <c r="B35" i="10"/>
  <c r="D4" i="10"/>
  <c r="B13" i="8"/>
  <c r="R31" i="2"/>
  <c r="G12" i="3"/>
  <c r="F13" i="8"/>
  <c r="E9" i="3"/>
  <c r="H18" i="3"/>
  <c r="H9" i="3"/>
  <c r="G18" i="3"/>
  <c r="G9" i="3"/>
  <c r="F9" i="3"/>
  <c r="C16" i="8"/>
  <c r="F6" i="8"/>
  <c r="I7" i="3"/>
  <c r="H10" i="3"/>
  <c r="E10" i="3"/>
  <c r="H8" i="3"/>
  <c r="F12" i="3"/>
  <c r="E8" i="3"/>
  <c r="E12" i="3"/>
  <c r="G10" i="3"/>
  <c r="F8" i="3"/>
  <c r="H12" i="3"/>
  <c r="G8" i="3"/>
  <c r="F10" i="3"/>
  <c r="D16" i="8"/>
  <c r="F17" i="3"/>
  <c r="B16" i="8"/>
  <c r="B17" i="8" s="1"/>
  <c r="E16" i="8"/>
  <c r="C17" i="8" l="1"/>
  <c r="G43" i="10"/>
  <c r="E43" i="10" s="1"/>
  <c r="E17" i="8"/>
  <c r="D17" i="8"/>
  <c r="B84" i="10"/>
  <c r="B5" i="10"/>
  <c r="D5" i="10"/>
  <c r="E5" i="10"/>
  <c r="H17" i="3"/>
  <c r="F11" i="10"/>
  <c r="E10" i="10"/>
  <c r="D10" i="10"/>
  <c r="C10" i="10"/>
  <c r="AA29" i="10"/>
  <c r="AD29" i="10" s="1"/>
  <c r="G44" i="10"/>
  <c r="D44" i="10" s="1"/>
  <c r="B37" i="10"/>
  <c r="F4" i="10"/>
  <c r="G17" i="3"/>
  <c r="G45" i="10"/>
  <c r="I9" i="3"/>
  <c r="F14" i="8"/>
  <c r="C9" i="8"/>
  <c r="F19" i="3"/>
  <c r="B9" i="8"/>
  <c r="E19" i="3"/>
  <c r="F18" i="3"/>
  <c r="E9" i="8"/>
  <c r="E12" i="8" s="1"/>
  <c r="H19" i="3"/>
  <c r="I12" i="3"/>
  <c r="F15" i="8"/>
  <c r="E18" i="3"/>
  <c r="D9" i="8"/>
  <c r="G19" i="3"/>
  <c r="I8" i="3"/>
  <c r="I10" i="3"/>
  <c r="F10" i="10"/>
  <c r="D86" i="10" l="1"/>
  <c r="D84" i="10" s="1"/>
  <c r="E86" i="10"/>
  <c r="E84" i="10" s="1"/>
  <c r="I11" i="10"/>
  <c r="F86" i="10"/>
  <c r="F84" i="10" s="1"/>
  <c r="C86" i="10"/>
  <c r="C84" i="10" s="1"/>
  <c r="F5" i="10"/>
  <c r="I10" i="10"/>
  <c r="AA30" i="10"/>
  <c r="E44" i="10"/>
  <c r="D43" i="10"/>
  <c r="B43" i="10" s="1"/>
  <c r="B44" i="10" s="1"/>
  <c r="E45" i="10"/>
  <c r="D45" i="10"/>
  <c r="G46" i="10"/>
  <c r="G47" i="10"/>
  <c r="F16" i="8"/>
  <c r="F17" i="8" s="1"/>
  <c r="I18" i="3"/>
  <c r="F13" i="3"/>
  <c r="F9" i="8"/>
  <c r="I19" i="3"/>
  <c r="G13" i="3"/>
  <c r="H13" i="3"/>
  <c r="E13" i="3"/>
  <c r="I17" i="3"/>
  <c r="F12" i="8" l="1"/>
  <c r="E83" i="10"/>
  <c r="D83" i="10"/>
  <c r="F83" i="10"/>
  <c r="C83" i="10"/>
  <c r="AA31" i="10"/>
  <c r="B45" i="10"/>
  <c r="E46" i="10"/>
  <c r="D46" i="10"/>
  <c r="D47" i="10"/>
  <c r="E47" i="10"/>
  <c r="I13" i="3"/>
  <c r="AA32" i="10" l="1"/>
  <c r="AD31" i="10"/>
  <c r="B46" i="10"/>
  <c r="B47" i="10" s="1"/>
  <c r="B48" i="10" s="1"/>
  <c r="C49" i="10" s="1"/>
  <c r="Q31" i="2"/>
  <c r="P31" i="2"/>
  <c r="N31" i="2"/>
  <c r="O31" i="2"/>
  <c r="AA33" i="10" l="1"/>
  <c r="AD32" i="10"/>
  <c r="AA34" i="10" l="1"/>
  <c r="AA35" i="10" s="1"/>
  <c r="AA36" i="10" s="1"/>
  <c r="AD33" i="10"/>
  <c r="AE23" i="10" s="1"/>
  <c r="AE9" i="10"/>
  <c r="AF9" i="10" s="1"/>
  <c r="AE4" i="10"/>
  <c r="AF4" i="10" s="1"/>
  <c r="AE7" i="10"/>
  <c r="AF7" i="10" s="1"/>
  <c r="AE36" i="10"/>
  <c r="AE14" i="10"/>
  <c r="AE30" i="10"/>
  <c r="AF30" i="10" s="1"/>
  <c r="AE33" i="10"/>
  <c r="AE22" i="10"/>
  <c r="A20" i="10" l="1"/>
  <c r="AG7" i="10"/>
  <c r="AE15" i="10"/>
  <c r="AF15" i="10" s="1"/>
  <c r="AE11" i="10"/>
  <c r="AF11" i="10" s="1"/>
  <c r="AG11" i="10" s="1"/>
  <c r="AE35" i="10"/>
  <c r="AE32" i="10"/>
  <c r="AE12" i="10"/>
  <c r="AF12" i="10" s="1"/>
  <c r="AG12" i="10" s="1"/>
  <c r="AE10" i="10"/>
  <c r="AF10" i="10" s="1"/>
  <c r="AG10" i="10" s="1"/>
  <c r="AG9" i="10"/>
  <c r="A22" i="10"/>
  <c r="AE16" i="10"/>
  <c r="AE27" i="10"/>
  <c r="AF27" i="10" s="1"/>
  <c r="AE3" i="10"/>
  <c r="AF3" i="10" s="1"/>
  <c r="AE17" i="10"/>
  <c r="AE26" i="10"/>
  <c r="AF26" i="10" s="1"/>
  <c r="AE8" i="10"/>
  <c r="AF8" i="10" s="1"/>
  <c r="AE28" i="10"/>
  <c r="AF28" i="10" s="1"/>
  <c r="AG4" i="10"/>
  <c r="A17" i="10"/>
  <c r="AE31" i="10"/>
  <c r="AF31" i="10" s="1"/>
  <c r="AE24" i="10"/>
  <c r="AF24" i="10" s="1"/>
  <c r="AE6" i="10"/>
  <c r="AF6" i="10" s="1"/>
  <c r="AE34" i="10"/>
  <c r="AE18" i="10"/>
  <c r="AE29" i="10"/>
  <c r="AF29" i="10" s="1"/>
  <c r="AE21" i="10"/>
  <c r="AE13" i="10"/>
  <c r="AF13" i="10" s="1"/>
  <c r="AG13" i="10" s="1"/>
  <c r="AE25" i="10"/>
  <c r="AF25" i="10" s="1"/>
  <c r="AE5" i="10"/>
  <c r="AF5" i="10" s="1"/>
  <c r="AE20" i="10"/>
  <c r="AE19" i="10"/>
  <c r="AG6" i="10" l="1"/>
  <c r="A19" i="10"/>
  <c r="AG8" i="10"/>
  <c r="A21" i="10"/>
  <c r="A18" i="10"/>
  <c r="AG5" i="10"/>
  <c r="A16" i="10"/>
  <c r="AG3" i="10"/>
  <c r="C17" i="10"/>
  <c r="F17" i="10"/>
  <c r="G17" i="10"/>
  <c r="E17" i="10"/>
  <c r="B17" i="10"/>
  <c r="D17" i="10"/>
  <c r="H17" i="10"/>
  <c r="G22" i="10"/>
  <c r="C22" i="10"/>
  <c r="F22" i="10"/>
  <c r="B22" i="10"/>
  <c r="D22" i="10"/>
  <c r="E22" i="10"/>
  <c r="H22" i="10"/>
  <c r="F20" i="10"/>
  <c r="D20" i="10"/>
  <c r="G20" i="10"/>
  <c r="B20" i="10"/>
  <c r="C20" i="10"/>
  <c r="E20" i="10"/>
  <c r="H20" i="10"/>
  <c r="AH13" i="10" l="1"/>
  <c r="AI13" i="10" s="1"/>
  <c r="AH3" i="10"/>
  <c r="AI3" i="10" s="1"/>
  <c r="A25" i="10" s="1"/>
  <c r="AH11" i="10"/>
  <c r="AI11" i="10" s="1"/>
  <c r="AH6" i="10"/>
  <c r="AI6" i="10" s="1"/>
  <c r="A28" i="10" s="1"/>
  <c r="AH10" i="10"/>
  <c r="AI10" i="10" s="1"/>
  <c r="AH9" i="10"/>
  <c r="AI9" i="10" s="1"/>
  <c r="A31" i="10" s="1"/>
  <c r="AH12" i="10"/>
  <c r="AI12" i="10" s="1"/>
  <c r="AH7" i="10"/>
  <c r="AI7" i="10" s="1"/>
  <c r="A29" i="10" s="1"/>
  <c r="AH5" i="10"/>
  <c r="AI5" i="10" s="1"/>
  <c r="A27" i="10" s="1"/>
  <c r="AH4" i="10"/>
  <c r="AI4" i="10" s="1"/>
  <c r="A26" i="10" s="1"/>
  <c r="AH8" i="10"/>
  <c r="AI8" i="10" s="1"/>
  <c r="A30" i="10" s="1"/>
  <c r="G16" i="10"/>
  <c r="B16" i="10"/>
  <c r="F16" i="10"/>
  <c r="D16" i="10"/>
  <c r="H16" i="10"/>
  <c r="E16" i="10"/>
  <c r="C16" i="10"/>
  <c r="I17" i="10"/>
  <c r="C18" i="10"/>
  <c r="B18" i="10"/>
  <c r="H18" i="10"/>
  <c r="E18" i="10"/>
  <c r="G18" i="10"/>
  <c r="F18" i="10"/>
  <c r="D18" i="10"/>
  <c r="C21" i="10"/>
  <c r="F21" i="10"/>
  <c r="H21" i="10"/>
  <c r="B21" i="10"/>
  <c r="D21" i="10"/>
  <c r="E21" i="10"/>
  <c r="G21" i="10"/>
  <c r="I22" i="10"/>
  <c r="I20" i="10"/>
  <c r="D19" i="10"/>
  <c r="C19" i="10"/>
  <c r="F19" i="10"/>
  <c r="G19" i="10"/>
  <c r="H19" i="10"/>
  <c r="E19" i="10"/>
  <c r="B19" i="10"/>
  <c r="D31" i="10" l="1"/>
  <c r="C31" i="10"/>
  <c r="F31" i="10"/>
  <c r="E31" i="10"/>
  <c r="H31" i="10"/>
  <c r="G31" i="10"/>
  <c r="B31" i="10"/>
  <c r="I18" i="10"/>
  <c r="I16" i="10"/>
  <c r="F28" i="10"/>
  <c r="E28" i="10"/>
  <c r="B28" i="10"/>
  <c r="D28" i="10"/>
  <c r="C28" i="10"/>
  <c r="G28" i="10"/>
  <c r="H28" i="10"/>
  <c r="I21" i="10"/>
  <c r="G30" i="10"/>
  <c r="B30" i="10"/>
  <c r="D30" i="10"/>
  <c r="C30" i="10"/>
  <c r="H30" i="10"/>
  <c r="E30" i="10"/>
  <c r="F30" i="10"/>
  <c r="I19" i="10"/>
  <c r="B26" i="10"/>
  <c r="H26" i="10"/>
  <c r="D26" i="10"/>
  <c r="G26" i="10"/>
  <c r="F26" i="10"/>
  <c r="C26" i="10"/>
  <c r="E26" i="10"/>
  <c r="B25" i="10"/>
  <c r="F25" i="10"/>
  <c r="E25" i="10"/>
  <c r="G25" i="10"/>
  <c r="H25" i="10"/>
  <c r="C25" i="10"/>
  <c r="D25" i="10"/>
  <c r="C29" i="10"/>
  <c r="H29" i="10"/>
  <c r="E29" i="10"/>
  <c r="D29" i="10"/>
  <c r="F29" i="10"/>
  <c r="B29" i="10"/>
  <c r="G29" i="10"/>
  <c r="F27" i="10"/>
  <c r="B27" i="10"/>
  <c r="D27" i="10"/>
  <c r="C27" i="10"/>
  <c r="E27" i="10"/>
  <c r="G27" i="10"/>
  <c r="H27" i="10"/>
  <c r="I29" i="10" l="1"/>
  <c r="J29" i="10" s="1"/>
  <c r="J18" i="10"/>
  <c r="I31" i="10"/>
  <c r="J31" i="10" s="1"/>
  <c r="I26" i="10"/>
  <c r="J26" i="10" s="1"/>
  <c r="I30" i="10"/>
  <c r="J30" i="10" s="1"/>
  <c r="I25" i="10"/>
  <c r="J25" i="10" s="1"/>
  <c r="J22" i="10"/>
  <c r="I28" i="10"/>
  <c r="J28" i="10" s="1"/>
  <c r="I27" i="10"/>
  <c r="J27" i="10" s="1"/>
  <c r="J19" i="10"/>
  <c r="J17" i="10"/>
  <c r="J20" i="10"/>
  <c r="J21" i="10"/>
  <c r="J16" i="10"/>
  <c r="N20" i="10" l="1"/>
  <c r="Q20" i="10" s="1"/>
  <c r="N17" i="10"/>
  <c r="Q17" i="10" s="1"/>
  <c r="N16" i="10"/>
  <c r="Q16" i="10" s="1"/>
  <c r="N19" i="10"/>
  <c r="Q19" i="10" s="1"/>
  <c r="N18" i="10"/>
  <c r="Q18" i="10" s="1"/>
  <c r="N21" i="10"/>
  <c r="Q21" i="10" s="1"/>
  <c r="N22" i="10"/>
  <c r="Q22" i="10" s="1"/>
  <c r="Q23" i="10" l="1"/>
  <c r="R17" i="10" s="1"/>
  <c r="R20" i="10" l="1"/>
  <c r="R16" i="10"/>
  <c r="N23" i="10"/>
  <c r="R19" i="10"/>
  <c r="R18" i="10"/>
  <c r="R21" i="10"/>
  <c r="R22" i="10"/>
</calcChain>
</file>

<file path=xl/sharedStrings.xml><?xml version="1.0" encoding="utf-8"?>
<sst xmlns="http://schemas.openxmlformats.org/spreadsheetml/2006/main" count="489" uniqueCount="363">
  <si>
    <t>Indicator</t>
  </si>
  <si>
    <t>Property, plant and equipment</t>
  </si>
  <si>
    <t>Investment property</t>
  </si>
  <si>
    <t>Total non-current assets</t>
  </si>
  <si>
    <t>Current tax assets</t>
  </si>
  <si>
    <t>Total current assets</t>
  </si>
  <si>
    <t>Total assets</t>
  </si>
  <si>
    <t>Issued capital</t>
  </si>
  <si>
    <t>Share premium</t>
  </si>
  <si>
    <t>Retained earnings</t>
  </si>
  <si>
    <t>Total Equity</t>
  </si>
  <si>
    <t>Borrowings LT</t>
  </si>
  <si>
    <t>Long term finance leases and other interest bearing obligations</t>
  </si>
  <si>
    <t>Deferred tax liabilities</t>
  </si>
  <si>
    <t>Total non-current liabilities</t>
  </si>
  <si>
    <t>Trade and other payables</t>
  </si>
  <si>
    <t>Borrowings ST</t>
  </si>
  <si>
    <t>Short term finance leases and other interest bearing obligations</t>
  </si>
  <si>
    <t>Total current liabilities</t>
  </si>
  <si>
    <t>Total liabilities</t>
  </si>
  <si>
    <t>Total equity and liabilities</t>
  </si>
  <si>
    <t>Income statement</t>
  </si>
  <si>
    <t>Investment income</t>
  </si>
  <si>
    <t>Alte castiguri sau pierderi</t>
  </si>
  <si>
    <t>Other gains and losses</t>
  </si>
  <si>
    <t>Variatia stocurilor</t>
  </si>
  <si>
    <t>Cheltuieli cu materiile prime si consumabile</t>
  </si>
  <si>
    <t>Raw materials and consumables used</t>
  </si>
  <si>
    <t>Cheltuieli cu deprecierea si amortizarea activelor</t>
  </si>
  <si>
    <t>Depreciation and amortisation expenses</t>
  </si>
  <si>
    <t>Impairment losses on financial assets</t>
  </si>
  <si>
    <t>Cheltuieli cu beneficiile angajatilor</t>
  </si>
  <si>
    <t>Employee benefits expenses and social charges</t>
  </si>
  <si>
    <t>Cheltuieli cu contributiile privind asigurarile si protectia sociala</t>
  </si>
  <si>
    <t>Costul net al finantarii</t>
  </si>
  <si>
    <t>Alte cheltuieli</t>
  </si>
  <si>
    <t>Other expenses</t>
  </si>
  <si>
    <t>Profit (pierdere) inaintea impozitarii</t>
  </si>
  <si>
    <t>Profit (loss) before tax</t>
  </si>
  <si>
    <t>Impozit pe profit</t>
  </si>
  <si>
    <t>Income tax expense</t>
  </si>
  <si>
    <t>Profit (pierdere) net</t>
  </si>
  <si>
    <t>Profit (loss) of the year</t>
  </si>
  <si>
    <t>Pierderi din reevaluarea imobilizarilor corporale</t>
  </si>
  <si>
    <t>Ajustare impozit amanat aferent rezervelor din reevaluare nedeductibile fiscal</t>
  </si>
  <si>
    <t>Total comprehensive income</t>
  </si>
  <si>
    <t>Total rezultat global</t>
  </si>
  <si>
    <t>Venituri din chirii</t>
  </si>
  <si>
    <t xml:space="preserve"> Rental and royalty income </t>
  </si>
  <si>
    <t>Venituri din dobanzi</t>
  </si>
  <si>
    <t xml:space="preserve"> Interest income </t>
  </si>
  <si>
    <t xml:space="preserve"> Investment income (dividends) - Total Commercial Management </t>
  </si>
  <si>
    <t xml:space="preserve"> Investment income (dividends) - Recyplat </t>
  </si>
  <si>
    <t xml:space="preserve"> Investment income (dividends) - Yenki </t>
  </si>
  <si>
    <t xml:space="preserve"> Investment income (dividends) - Infotech Solutions </t>
  </si>
  <si>
    <t xml:space="preserve"> Investment income (dividends) - RC Energo Install</t>
  </si>
  <si>
    <t xml:space="preserve"> Investment income (dividends) - LivingJumbo Industry </t>
  </si>
  <si>
    <t>Total</t>
  </si>
  <si>
    <t>Total vanzari nete</t>
  </si>
  <si>
    <t>Detalii indicator "Vanzari nete"</t>
  </si>
  <si>
    <t>Detalii indicator "Venituri din investitii"</t>
  </si>
  <si>
    <t>Alte venituri</t>
  </si>
  <si>
    <t xml:space="preserve"> - Venituri din vanzari de produse finite, total, din care:</t>
  </si>
  <si>
    <t xml:space="preserve"> - Venituri din vanzari de semifabricate</t>
  </si>
  <si>
    <t xml:space="preserve"> - Venituri din prestari servicii</t>
  </si>
  <si>
    <t xml:space="preserve"> - Venituri din vanzari de marfuri</t>
  </si>
  <si>
    <t xml:space="preserve"> - Venituri din alte activitati</t>
  </si>
  <si>
    <t>Vanzari nete *</t>
  </si>
  <si>
    <t>Venituri din investitii *</t>
  </si>
  <si>
    <t>© ROMCARBON SA</t>
  </si>
  <si>
    <t xml:space="preserve"> - Sales of finished goods, total, out of which:</t>
  </si>
  <si>
    <t xml:space="preserve"> - Sales of intermediary goods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</si>
  <si>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</si>
  <si>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</si>
  <si>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</si>
  <si>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</si>
  <si>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</si>
  <si>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</si>
  <si>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</si>
  <si>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</si>
  <si>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</si>
  <si>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</si>
  <si>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</si>
  <si>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</si>
  <si>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</si>
  <si>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</si>
  <si>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</si>
  <si>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</si>
  <si>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</si>
  <si>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</si>
  <si>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</si>
  <si>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</si>
  <si>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</si>
  <si>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</si>
  <si>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</si>
  <si>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(Active curente-Stocuri)/Datorii curente</t>
  </si>
  <si>
    <t>Datorii pe termen lung/Capitaluri</t>
  </si>
  <si>
    <t>Total datorii/Total active</t>
  </si>
  <si>
    <t>EBIT/Cheltuieli cu dobanzile</t>
  </si>
  <si>
    <t>EBIT</t>
  </si>
  <si>
    <t>Sold mediu creante comerciale/Cifra de afaceri</t>
  </si>
  <si>
    <t>Sold mediu datorii comerciale/Cifra de afaceri</t>
  </si>
  <si>
    <t>Rezultat net/Active totale</t>
  </si>
  <si>
    <t>Rezultat net/Capitaluri</t>
  </si>
  <si>
    <t>Rezultat net/Cifra de afaceri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</si>
  <si>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</si>
  <si>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</si>
  <si>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</si>
  <si>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</si>
  <si>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</si>
  <si>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</si>
  <si>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</si>
  <si>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</si>
  <si>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</si>
  <si>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</si>
  <si>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</si>
  <si>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</si>
  <si>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</si>
  <si>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</si>
  <si>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</si>
  <si>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</si>
  <si>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</si>
  <si>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</si>
  <si>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</si>
  <si>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</si>
  <si>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</si>
  <si>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</si>
  <si>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</si>
  <si>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</si>
  <si>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</si>
  <si>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</si>
  <si>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</si>
  <si>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</si>
  <si>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</si>
  <si>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</si>
  <si>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</si>
  <si>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</si>
  <si>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</si>
  <si>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>Vanzari nete + Venituri din chirii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</si>
  <si>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</si>
  <si>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</si>
  <si>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</si>
  <si>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</si>
  <si>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</si>
  <si>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Cash and cash equivalents at the beginning of the year</t>
  </si>
  <si>
    <t>Cash and cash equivalents at the end of the year</t>
  </si>
  <si>
    <t>The source of the financial information is the company annual reports.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</si>
  <si>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document has been prepared for information purpose.</t>
    </r>
    <r>
      <rPr>
        <b/>
        <sz val="11"/>
        <rFont val="Candara"/>
        <family val="2"/>
      </rPr>
      <t xml:space="preserve">
</t>
    </r>
  </si>
  <si>
    <t xml:space="preserve">Revenue +  Rental and royalty income 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</si>
  <si>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</si>
  <si>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</si>
  <si>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</si>
  <si>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</si>
  <si>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</si>
  <si>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</si>
  <si>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</si>
  <si>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</si>
  <si>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</si>
  <si>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</si>
  <si>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Deferred tax adjustment for non-deductible tax revaluation reserves</t>
  </si>
  <si>
    <t>In this file all the amounts are expressed in lei.</t>
  </si>
  <si>
    <t>Interest coverage ratio</t>
  </si>
  <si>
    <t>Note: In EBIT and EBITDA are included also the non-repeating elements suchs as dividends, sales of assets, others.</t>
  </si>
  <si>
    <t>Select the 1st comparison element</t>
  </si>
  <si>
    <t>Select the 2nd comparison element</t>
  </si>
  <si>
    <t>Liabilities</t>
  </si>
  <si>
    <t>Assets</t>
  </si>
  <si>
    <t>List1</t>
  </si>
  <si>
    <t>List2</t>
  </si>
  <si>
    <t>Borrowings</t>
  </si>
  <si>
    <t>Select the year</t>
  </si>
  <si>
    <t>List3</t>
  </si>
  <si>
    <t>Non-current assets</t>
  </si>
  <si>
    <t>Non-current liabilities</t>
  </si>
  <si>
    <t>Current liabilities</t>
  </si>
  <si>
    <t>Equity</t>
  </si>
  <si>
    <t>Select the element</t>
  </si>
  <si>
    <t>Equity&amp;Liabilities</t>
  </si>
  <si>
    <t>Start</t>
  </si>
  <si>
    <t>Base</t>
  </si>
  <si>
    <t>End</t>
  </si>
  <si>
    <t>Down</t>
  </si>
  <si>
    <t>Up</t>
  </si>
  <si>
    <t>Net</t>
  </si>
  <si>
    <t>An</t>
  </si>
  <si>
    <t>Date</t>
  </si>
  <si>
    <t>Rank</t>
  </si>
  <si>
    <t>Pozitie</t>
  </si>
  <si>
    <t>Center</t>
  </si>
  <si>
    <t>Value</t>
  </si>
  <si>
    <t>%</t>
  </si>
  <si>
    <t>CP1</t>
  </si>
  <si>
    <t>CP2</t>
  </si>
  <si>
    <t>CP3</t>
  </si>
  <si>
    <t>CP4</t>
  </si>
  <si>
    <t>CP5</t>
  </si>
  <si>
    <t>CP6</t>
  </si>
  <si>
    <t>CP7</t>
  </si>
  <si>
    <t>www.romcarbon.com</t>
  </si>
  <si>
    <t xml:space="preserve">Plastic processing sector: polyethylene+polystyrene+polypropylene </t>
  </si>
  <si>
    <t>Regenerated polymers &amp; Compounds</t>
  </si>
  <si>
    <t>Other production sectors (industrial and automotive filters, active carbon, breathing protective equipment, PVC traffic base)</t>
  </si>
  <si>
    <t>Other activities</t>
  </si>
  <si>
    <t>Net sales</t>
  </si>
  <si>
    <t>"Net sales" details</t>
  </si>
  <si>
    <t>EBITDA Operational</t>
  </si>
  <si>
    <t>Debt ratio</t>
  </si>
  <si>
    <t>Current liquidity</t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</si>
  <si>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</si>
  <si>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</si>
  <si>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t>Select the sector &gt;&gt;&gt;</t>
  </si>
  <si>
    <t>Plastics proccessing</t>
  </si>
  <si>
    <t>Regenerated polymers&amp;compounds</t>
  </si>
  <si>
    <t>Other production activities</t>
  </si>
  <si>
    <t>Weights in "Net sales"</t>
  </si>
  <si>
    <t>Grouped by sectors, the item "Net sales" is presented in the below table:</t>
  </si>
  <si>
    <t>Intangible assets other than goodwill</t>
  </si>
  <si>
    <t>Investments in subsidiaries, joint ventures and associates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</si>
  <si>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</si>
  <si>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</si>
  <si>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</si>
  <si>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</si>
  <si>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</si>
  <si>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Non-current assets or disposal groups classified as held for sale or as held for distribution to owners</t>
  </si>
  <si>
    <t>Other reserves</t>
  </si>
  <si>
    <t>Other non – current provisions</t>
  </si>
  <si>
    <t>Other non-current financial liabilities</t>
  </si>
  <si>
    <t>Other non-current non-financial liabilities</t>
  </si>
  <si>
    <t>Other current financial liabilities</t>
  </si>
  <si>
    <t>Other current non-financial liabilities</t>
  </si>
  <si>
    <t>Revenue</t>
  </si>
  <si>
    <t>Other Income</t>
  </si>
  <si>
    <t>Increase (decrease) in inventories of finished goods and work in progress</t>
  </si>
  <si>
    <t>Profit (loss) from operating activities</t>
  </si>
  <si>
    <t>Finance Income</t>
  </si>
  <si>
    <t>Other income details</t>
  </si>
  <si>
    <t>Finance Income details</t>
  </si>
  <si>
    <t>Note: From 2020 the format of the Financial Statements had changed. The previous years are presented according to the new format.</t>
  </si>
  <si>
    <t>Other non-current financial liabilities, details</t>
  </si>
  <si>
    <t xml:space="preserve">Total </t>
  </si>
  <si>
    <t>Other current financial liabilities, details</t>
  </si>
  <si>
    <t>Finance Expense</t>
  </si>
  <si>
    <t>Forex (gain)</t>
  </si>
  <si>
    <t>Revenues from subsidies for investments</t>
  </si>
  <si>
    <t>Net profit w/o the impact of the sales of Green-Group shares</t>
  </si>
  <si>
    <t xml:space="preserve">Revenues from dividends </t>
  </si>
  <si>
    <t>Net gain/loss from the revaluation of tangible assets</t>
  </si>
  <si>
    <t>SEPARATE ANNUAL FINANCIAL DATA SINCE 2017 (IFRS - EU)</t>
  </si>
  <si>
    <t>In total  [2023]</t>
  </si>
  <si>
    <t>Revenues from financial investments</t>
  </si>
  <si>
    <t>Expenses related to the sales of Green-group shares*</t>
  </si>
  <si>
    <t>*In December 2022 the Group sold its financial investment in Green-Group</t>
  </si>
  <si>
    <t>Indicatori</t>
  </si>
  <si>
    <t>Profitul net al anului</t>
  </si>
  <si>
    <t xml:space="preserve">Net profit / (loss) after taxation </t>
  </si>
  <si>
    <t>Cheltuieli cu impozitul pe profit</t>
  </si>
  <si>
    <t xml:space="preserve">Income tax expense </t>
  </si>
  <si>
    <t>Amortizarea /depreciere a activelor pe termen lung</t>
  </si>
  <si>
    <t>Depreciation</t>
  </si>
  <si>
    <t>(Castig)/pierdere din vanzarea activelor fixe</t>
  </si>
  <si>
    <t>(Gain) / Loss on fixed assets disposal</t>
  </si>
  <si>
    <t xml:space="preserve"> (Castig)/pierdere din modificarea valorii juste a investitiilor imobiliare </t>
  </si>
  <si>
    <t>(Gain) / Loss arising on changes in fair value of investment property</t>
  </si>
  <si>
    <t xml:space="preserve"> (Castig)/pierdere din modificarea valorii juste a activelor detinute spre vanzare</t>
  </si>
  <si>
    <t>(Gain) / Loss arising on changes in fair value of Assets Held for Sale</t>
  </si>
  <si>
    <t>(Castig) / Pierdere din reevaluarea imobilizarilor corporale</t>
  </si>
  <si>
    <t>(Gain) / Loss from revaluation of fixed assets</t>
  </si>
  <si>
    <t xml:space="preserve"> (Castig)/pierdere  din vanzarea investitiilor imobiliare </t>
  </si>
  <si>
    <t>(Gain) / Loss arising disposal of investment property</t>
  </si>
  <si>
    <t xml:space="preserve"> (Castig)/pierdere  din vanzarea activelor detinute spre vanzare</t>
  </si>
  <si>
    <t>(Gain) / Loss arising disposal of Assets Held for Sale</t>
  </si>
  <si>
    <t>Cheltuieli/ venituri din creante</t>
  </si>
  <si>
    <t>Loss on receivables and sundry debtors</t>
  </si>
  <si>
    <t>Cheltuieli/venituri privind provizioanele pentru  clienti</t>
  </si>
  <si>
    <t>Customers provisions</t>
  </si>
  <si>
    <t>Castig din constructia interna a mijloacelor fixe</t>
  </si>
  <si>
    <t>Gains on internal set-up of fixed assets</t>
  </si>
  <si>
    <t>Castig/Pierdere din cedarea activelor financiare</t>
  </si>
  <si>
    <t>(Gains) / Losses with disposal of financial assets</t>
  </si>
  <si>
    <t>Cheltuieli/venituri privind provizioanele pentru investitii financiare</t>
  </si>
  <si>
    <t>Expenses / revenues with adjustments of financial assets</t>
  </si>
  <si>
    <t>Cheltuieli/venituri privind provizioanele pentru riscuri si cheltuieli</t>
  </si>
  <si>
    <t>Expenses / revenues with the provisions for risks and expenses</t>
  </si>
  <si>
    <t>Cheltuieli cu dobanda</t>
  </si>
  <si>
    <t>Interest expense</t>
  </si>
  <si>
    <t>Interest income</t>
  </si>
  <si>
    <t>Venituri din dividende</t>
  </si>
  <si>
    <t>Dividend income</t>
  </si>
  <si>
    <t>Venituri din subventii</t>
  </si>
  <si>
    <t>Income from subsidies</t>
  </si>
  <si>
    <t>Castig/Pierdere nerealizat/a din diferente de curs</t>
  </si>
  <si>
    <t>Unrealised net forex result</t>
  </si>
  <si>
    <t>Miscari în capitalul circulant</t>
  </si>
  <si>
    <t>Movements in working capital</t>
  </si>
  <si>
    <t>(Crestere)/ (descrestere) creante comerciale si alte creante</t>
  </si>
  <si>
    <t>(Increase) / Decrease in accounts receivable</t>
  </si>
  <si>
    <t>(Crestere)/ (descrestere)stocuri</t>
  </si>
  <si>
    <t>(Increase) / Decrease in inventories</t>
  </si>
  <si>
    <t>(Cresteri)/  (descresteri) in alte active</t>
  </si>
  <si>
    <t>(Increase) / Decrease in other assets</t>
  </si>
  <si>
    <t>Crestere / (descrestere) datorii comerciale</t>
  </si>
  <si>
    <t>Increase / (Decrease) in accounts payable</t>
  </si>
  <si>
    <t>Crestere / (descrestere) venituri inregistrate in avans</t>
  </si>
  <si>
    <t>(Decrease) / Increase in deferred revenue</t>
  </si>
  <si>
    <t>Crestere / (descrestere) alte datorii</t>
  </si>
  <si>
    <t>(Decrease)/increase in other liabilities</t>
  </si>
  <si>
    <t>Numerar generat/ utilizat din activitati operationale</t>
  </si>
  <si>
    <t>Cash generated from operations</t>
  </si>
  <si>
    <t>Impozit pe profit platit</t>
  </si>
  <si>
    <t>Income taxes paid</t>
  </si>
  <si>
    <t>Dobanzi platite</t>
  </si>
  <si>
    <t>Interest paid</t>
  </si>
  <si>
    <t>Numerar net generat/utilizat de activitati operationale</t>
  </si>
  <si>
    <t>Net cash generated/used by operating activities</t>
  </si>
  <si>
    <t>Fluxuri de numerar din activitati de investitii</t>
  </si>
  <si>
    <t>Cash flows from investing activities</t>
  </si>
  <si>
    <t>Plati aferente imobilizarilor financiare</t>
  </si>
  <si>
    <t>Payments to acquire financial assets</t>
  </si>
  <si>
    <t>Dobanzi încasate</t>
  </si>
  <si>
    <t>Interest received</t>
  </si>
  <si>
    <t>Dividende primite</t>
  </si>
  <si>
    <t>Dividends received</t>
  </si>
  <si>
    <t xml:space="preserve">Plati aferente imobilizarilor corporale </t>
  </si>
  <si>
    <t>Payments for property, plant and equipment</t>
  </si>
  <si>
    <t>Plati aferente investitiilor imobiliare</t>
  </si>
  <si>
    <t>Payments for investment property</t>
  </si>
  <si>
    <t>Incasari din vanzarea investitiilor imobiliare</t>
  </si>
  <si>
    <t>Proceeds from disposal of investment property</t>
  </si>
  <si>
    <t>Încasari din vanzarea de imobilizari corporale</t>
  </si>
  <si>
    <t>Proceeds from disposal of property, plant and equipment</t>
  </si>
  <si>
    <t>Plati aferente activelelor detinute spre vanzare</t>
  </si>
  <si>
    <t>Payments for assets held for sale</t>
  </si>
  <si>
    <t>Încasari din vanzarea activelor detinute spre vanzare</t>
  </si>
  <si>
    <t>Proceeds from disposal of Assets Held for Sale</t>
  </si>
  <si>
    <t xml:space="preserve"> Încasari din vanzarea investitiilor </t>
  </si>
  <si>
    <t>Proceeds from disposal of investments</t>
  </si>
  <si>
    <t>Incasari din subventii</t>
  </si>
  <si>
    <t>Proceeds from subsidies</t>
  </si>
  <si>
    <t xml:space="preserve"> Incasari/rambursari de imprumuturi parti afiliate </t>
  </si>
  <si>
    <t>Proceeds from loans granted to related parties</t>
  </si>
  <si>
    <t>Plati aferente activelor financiare</t>
  </si>
  <si>
    <t>Payments for financial assets</t>
  </si>
  <si>
    <t>Incasari din investitii financiare</t>
  </si>
  <si>
    <t>Proceeds from financial investments</t>
  </si>
  <si>
    <t>Plati aferente activelor necorporale</t>
  </si>
  <si>
    <t>Payments for intangible assets</t>
  </si>
  <si>
    <t>Numerar net generat/utilizat în activitati de investitii</t>
  </si>
  <si>
    <t>Net cash generated by/used in investing activities</t>
  </si>
  <si>
    <t>Fluxuri de numerar din activitati de finantare</t>
  </si>
  <si>
    <t>Plati de leasing</t>
  </si>
  <si>
    <t>Payments of lease liabilities</t>
  </si>
  <si>
    <t xml:space="preserve"> Incasari/rambursari de impumuturi bancare </t>
  </si>
  <si>
    <t>Proceeds from/repayment of bank loans</t>
  </si>
  <si>
    <t xml:space="preserve"> Plati dividende </t>
  </si>
  <si>
    <t>Payment of dividends</t>
  </si>
  <si>
    <t>Numerar net generat de/utilizat in activitati de finantare</t>
  </si>
  <si>
    <t>Net cash generated by/used in financing activities</t>
  </si>
  <si>
    <t>Crestere neta a numerarului si a echivalentelor de numerar</t>
  </si>
  <si>
    <t>Net increase in cash and cash equivalents</t>
  </si>
  <si>
    <t>Numerar si echivalente de numerar la începutul anului financiar</t>
  </si>
  <si>
    <t>Efectul ratei de schimb asupra soldului de numerar in valute</t>
  </si>
  <si>
    <t>Effects of exchange rate changes on the balance of cash held in foreign currencies</t>
  </si>
  <si>
    <t>Numerar si echivalente de numerar la sfarsitul anului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</si>
</sst>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_-* #,##0.000000_-;\-* #,##0.000000_-;_-* &quot;-&quot;??_-;_-@_-"/>
    <numFmt numFmtId="170" formatCode="_-* #,##0.000_-;\-* #,##0.000_-;_-* &quot;-&quot;??_-;_-@_-"/>
    <numFmt numFmtId="171" formatCode="_(* #,##0.0000_);_(* \(#,##0.0000\);_(* &quot;-&quot;_);_(@_)"/>
    <numFmt numFmtId="172" formatCode="_(* #,##0.0_);_(* \(#,##0.0\);_(* &quot;-&quot;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i/>
      <sz val="11"/>
      <color theme="0"/>
      <name val="Candara"/>
      <family val="2"/>
    </font>
    <font>
      <b/>
      <sz val="10.5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i/>
      <sz val="11"/>
      <color theme="1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3" tint="-0.249977111117893"/>
      <name val="Candara"/>
      <family val="2"/>
    </font>
    <font>
      <i/>
      <u/>
      <sz val="11"/>
      <color theme="3" tint="-0.249977111117893"/>
      <name val="Candara"/>
      <family val="2"/>
    </font>
    <font>
      <b/>
      <u/>
      <sz val="11"/>
      <color theme="1"/>
      <name val="Candara"/>
      <family val="2"/>
    </font>
    <font>
      <sz val="11"/>
      <color rgb="FFFF0000"/>
      <name val="Candara"/>
      <family val="2"/>
    </font>
    <font>
      <sz val="11"/>
      <color theme="0"/>
      <name val="Calibri"/>
      <family val="2"/>
      <scheme val="minor"/>
    </font>
    <font>
      <b/>
      <sz val="10"/>
      <color theme="1"/>
      <name val="Candara"/>
      <family val="2"/>
    </font>
    <font>
      <b/>
      <sz val="11"/>
      <color theme="1"/>
      <name val="Calibri"/>
      <family val="2"/>
      <charset val="238"/>
      <scheme val="minor"/>
    </font>
    <font>
      <sz val="11"/>
      <color rgb="FF222B35"/>
      <name val="Candara"/>
      <family val="2"/>
    </font>
    <font>
      <b/>
      <sz val="11"/>
      <color theme="2" tint="-0.89999084444715716"/>
      <name val="Candara"/>
      <family val="2"/>
    </font>
    <font>
      <sz val="11"/>
      <color theme="2" tint="-0.89999084444715716"/>
      <name val="Candara"/>
      <family val="2"/>
    </font>
    <font>
      <i/>
      <sz val="8"/>
      <color theme="1"/>
      <name val="Candara"/>
      <family val="2"/>
    </font>
    <font>
      <b/>
      <sz val="10.5"/>
      <color theme="3" tint="-0.499984740745262"/>
      <name val="Candara"/>
      <family val="2"/>
    </font>
    <font>
      <sz val="10.5"/>
      <color theme="3" tint="-0.499984740745262"/>
      <name val="Candara"/>
      <family val="2"/>
    </font>
    <font>
      <b/>
      <sz val="10.5"/>
      <color theme="0"/>
      <name val="Candara"/>
      <family val="2"/>
      <charset val="238"/>
    </font>
    <font>
      <b/>
      <sz val="10"/>
      <color theme="0"/>
      <name val="Candara"/>
      <family val="2"/>
    </font>
    <font>
      <b/>
      <sz val="12"/>
      <color theme="0"/>
      <name val="Candar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DCEE5"/>
        <bgColor indexed="64"/>
      </patternFill>
    </fill>
    <fill>
      <patternFill patternType="solid">
        <fgColor rgb="FF219EBC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21" fillId="0" borderId="0" applyNumberFormat="0" applyFill="0" applyBorder="0" applyAlignment="0" applyProtection="0"/>
    <xf numFmtId="0" fontId="22" fillId="5" borderId="3" applyNumberFormat="0" applyBorder="0" applyProtection="0">
      <alignment vertical="center"/>
    </xf>
  </cellStyleXfs>
  <cellXfs count="252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8" fillId="2" borderId="0" xfId="3" applyNumberFormat="1" applyFont="1" applyFill="1" applyAlignment="1">
      <alignment vertical="top" wrapText="1"/>
    </xf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3" fontId="11" fillId="2" borderId="0" xfId="0" applyNumberFormat="1" applyFont="1" applyFill="1"/>
    <xf numFmtId="0" fontId="12" fillId="0" borderId="0" xfId="0" applyFont="1"/>
    <xf numFmtId="164" fontId="13" fillId="2" borderId="1" xfId="3" applyNumberFormat="1" applyFont="1" applyFill="1" applyBorder="1" applyAlignment="1">
      <alignment vertical="center"/>
    </xf>
    <xf numFmtId="3" fontId="13" fillId="2" borderId="1" xfId="0" applyNumberFormat="1" applyFont="1" applyFill="1" applyBorder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9" fontId="13" fillId="2" borderId="1" xfId="2" applyFont="1" applyFill="1" applyBorder="1" applyAlignment="1">
      <alignment vertical="center"/>
    </xf>
    <xf numFmtId="9" fontId="13" fillId="2" borderId="1" xfId="2" applyFont="1" applyFill="1" applyBorder="1"/>
    <xf numFmtId="164" fontId="16" fillId="4" borderId="1" xfId="3" applyNumberFormat="1" applyFont="1" applyFill="1" applyBorder="1" applyAlignment="1">
      <alignment vertical="center"/>
    </xf>
    <xf numFmtId="3" fontId="18" fillId="4" borderId="0" xfId="0" applyNumberFormat="1" applyFont="1" applyFill="1"/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167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7" fillId="0" borderId="0" xfId="0" applyFont="1"/>
    <xf numFmtId="0" fontId="1" fillId="0" borderId="0" xfId="0" applyFont="1"/>
    <xf numFmtId="0" fontId="1" fillId="6" borderId="0" xfId="0" applyFont="1" applyFill="1"/>
    <xf numFmtId="167" fontId="3" fillId="0" borderId="0" xfId="0" applyNumberFormat="1" applyFont="1"/>
    <xf numFmtId="0" fontId="1" fillId="8" borderId="0" xfId="0" applyFont="1" applyFill="1" applyAlignment="1">
      <alignment horizontal="left"/>
    </xf>
    <xf numFmtId="10" fontId="8" fillId="2" borderId="0" xfId="2" applyNumberFormat="1" applyFont="1" applyFill="1"/>
    <xf numFmtId="3" fontId="8" fillId="2" borderId="0" xfId="0" applyNumberFormat="1" applyFont="1" applyFill="1"/>
    <xf numFmtId="0" fontId="13" fillId="0" borderId="0" xfId="0" applyFont="1"/>
    <xf numFmtId="164" fontId="10" fillId="2" borderId="0" xfId="3" applyNumberFormat="1" applyFont="1" applyFill="1" applyAlignment="1">
      <alignment wrapText="1"/>
    </xf>
    <xf numFmtId="9" fontId="10" fillId="2" borderId="0" xfId="2" applyFont="1" applyFill="1"/>
    <xf numFmtId="10" fontId="13" fillId="0" borderId="0" xfId="2" applyNumberFormat="1" applyFont="1"/>
    <xf numFmtId="10" fontId="13" fillId="2" borderId="0" xfId="2" applyNumberFormat="1" applyFont="1" applyFill="1"/>
    <xf numFmtId="43" fontId="3" fillId="0" borderId="0" xfId="1" applyFont="1"/>
    <xf numFmtId="167" fontId="1" fillId="8" borderId="0" xfId="0" applyNumberFormat="1" applyFont="1" applyFill="1" applyAlignment="1">
      <alignment horizontal="left"/>
    </xf>
    <xf numFmtId="0" fontId="3" fillId="8" borderId="0" xfId="0" applyFont="1" applyFill="1" applyAlignment="1">
      <alignment horizontal="center"/>
    </xf>
    <xf numFmtId="167" fontId="3" fillId="8" borderId="0" xfId="0" applyNumberFormat="1" applyFont="1" applyFill="1"/>
    <xf numFmtId="9" fontId="3" fillId="0" borderId="0" xfId="2" applyFont="1"/>
    <xf numFmtId="167" fontId="1" fillId="0" borderId="0" xfId="1" applyNumberFormat="1" applyFont="1"/>
    <xf numFmtId="167" fontId="1" fillId="0" borderId="0" xfId="0" applyNumberFormat="1" applyFont="1"/>
    <xf numFmtId="167" fontId="9" fillId="0" borderId="0" xfId="1" applyNumberFormat="1" applyFont="1"/>
    <xf numFmtId="9" fontId="9" fillId="0" borderId="0" xfId="2" applyFont="1"/>
    <xf numFmtId="164" fontId="6" fillId="0" borderId="0" xfId="0" applyNumberFormat="1" applyFont="1"/>
    <xf numFmtId="164" fontId="13" fillId="2" borderId="0" xfId="3" applyNumberFormat="1" applyFont="1" applyFill="1" applyAlignment="1">
      <alignment vertical="center"/>
    </xf>
    <xf numFmtId="3" fontId="10" fillId="2" borderId="0" xfId="0" applyNumberFormat="1" applyFont="1" applyFill="1"/>
    <xf numFmtId="165" fontId="13" fillId="2" borderId="0" xfId="1" applyNumberFormat="1" applyFont="1" applyFill="1" applyBorder="1" applyAlignment="1">
      <alignment horizontal="right"/>
    </xf>
    <xf numFmtId="9" fontId="12" fillId="2" borderId="0" xfId="2" applyFont="1" applyFill="1" applyBorder="1"/>
    <xf numFmtId="9" fontId="43" fillId="0" borderId="0" xfId="2" applyFont="1"/>
    <xf numFmtId="9" fontId="44" fillId="0" borderId="0" xfId="2" applyFont="1"/>
    <xf numFmtId="0" fontId="36" fillId="0" borderId="0" xfId="0" applyFont="1"/>
    <xf numFmtId="3" fontId="1" fillId="0" borderId="0" xfId="0" applyNumberFormat="1" applyFont="1"/>
    <xf numFmtId="9" fontId="1" fillId="0" borderId="0" xfId="2" applyFont="1"/>
    <xf numFmtId="167" fontId="6" fillId="0" borderId="0" xfId="1" applyNumberFormat="1" applyFont="1"/>
    <xf numFmtId="164" fontId="8" fillId="2" borderId="0" xfId="3" applyNumberFormat="1" applyFont="1" applyFill="1" applyAlignment="1">
      <alignment wrapText="1"/>
    </xf>
    <xf numFmtId="164" fontId="8" fillId="2" borderId="5" xfId="3" applyNumberFormat="1" applyFont="1" applyFill="1" applyBorder="1" applyAlignment="1">
      <alignment vertical="center"/>
    </xf>
    <xf numFmtId="9" fontId="8" fillId="2" borderId="0" xfId="2" applyFont="1" applyFill="1" applyAlignment="1">
      <alignment horizontal="center" vertical="center"/>
    </xf>
    <xf numFmtId="3" fontId="10" fillId="10" borderId="0" xfId="0" applyNumberFormat="1" applyFont="1" applyFill="1"/>
    <xf numFmtId="3" fontId="10" fillId="10" borderId="1" xfId="0" applyNumberFormat="1" applyFont="1" applyFill="1" applyBorder="1"/>
    <xf numFmtId="10" fontId="10" fillId="10" borderId="0" xfId="2" applyNumberFormat="1" applyFont="1" applyFill="1"/>
    <xf numFmtId="9" fontId="10" fillId="10" borderId="1" xfId="2" applyFont="1" applyFill="1" applyBorder="1"/>
    <xf numFmtId="10" fontId="9" fillId="10" borderId="0" xfId="2" applyNumberFormat="1" applyFont="1" applyFill="1"/>
    <xf numFmtId="3" fontId="9" fillId="10" borderId="0" xfId="0" applyNumberFormat="1" applyFont="1" applyFill="1"/>
    <xf numFmtId="0" fontId="3" fillId="12" borderId="0" xfId="0" applyFont="1" applyFill="1"/>
    <xf numFmtId="0" fontId="24" fillId="12" borderId="0" xfId="0" applyFont="1" applyFill="1"/>
    <xf numFmtId="0" fontId="39" fillId="12" borderId="0" xfId="0" applyFont="1" applyFill="1"/>
    <xf numFmtId="0" fontId="1" fillId="3" borderId="0" xfId="0" applyFont="1" applyFill="1" applyAlignment="1">
      <alignment vertical="center"/>
    </xf>
    <xf numFmtId="164" fontId="19" fillId="11" borderId="7" xfId="3" applyNumberFormat="1" applyFont="1" applyFill="1" applyBorder="1" applyAlignment="1">
      <alignment vertical="center" wrapText="1"/>
    </xf>
    <xf numFmtId="0" fontId="19" fillId="11" borderId="7" xfId="0" applyFont="1" applyFill="1" applyBorder="1" applyAlignment="1">
      <alignment horizontal="center" vertical="center" wrapText="1"/>
    </xf>
    <xf numFmtId="10" fontId="19" fillId="11" borderId="7" xfId="2" applyNumberFormat="1" applyFont="1" applyFill="1" applyBorder="1" applyAlignment="1">
      <alignment horizontal="center" vertical="center" wrapText="1"/>
    </xf>
    <xf numFmtId="164" fontId="7" fillId="2" borderId="7" xfId="3" applyNumberFormat="1" applyFont="1" applyFill="1" applyBorder="1" applyAlignment="1">
      <alignment vertical="center"/>
    </xf>
    <xf numFmtId="3" fontId="7" fillId="2" borderId="7" xfId="0" applyNumberFormat="1" applyFont="1" applyFill="1" applyBorder="1"/>
    <xf numFmtId="10" fontId="7" fillId="2" borderId="7" xfId="2" applyNumberFormat="1" applyFont="1" applyFill="1" applyBorder="1"/>
    <xf numFmtId="10" fontId="8" fillId="2" borderId="7" xfId="2" applyNumberFormat="1" applyFont="1" applyFill="1" applyBorder="1"/>
    <xf numFmtId="0" fontId="46" fillId="0" borderId="0" xfId="0" applyFont="1" applyAlignment="1">
      <alignment horizontal="center" vertical="center" wrapText="1"/>
    </xf>
    <xf numFmtId="0" fontId="25" fillId="14" borderId="0" xfId="0" applyFont="1" applyFill="1" applyAlignment="1">
      <alignment vertical="center"/>
    </xf>
    <xf numFmtId="0" fontId="0" fillId="14" borderId="0" xfId="0" applyFill="1"/>
    <xf numFmtId="0" fontId="20" fillId="14" borderId="0" xfId="0" applyFont="1" applyFill="1" applyAlignment="1">
      <alignment vertical="center"/>
    </xf>
    <xf numFmtId="0" fontId="26" fillId="14" borderId="0" xfId="0" applyFont="1" applyFill="1" applyAlignment="1">
      <alignment horizontal="justify" vertical="center"/>
    </xf>
    <xf numFmtId="0" fontId="27" fillId="14" borderId="0" xfId="0" applyFont="1" applyFill="1"/>
    <xf numFmtId="0" fontId="12" fillId="14" borderId="0" xfId="0" applyFont="1" applyFill="1"/>
    <xf numFmtId="0" fontId="6" fillId="14" borderId="0" xfId="0" applyFont="1" applyFill="1"/>
    <xf numFmtId="0" fontId="28" fillId="14" borderId="0" xfId="5" applyFont="1" applyFill="1" applyAlignment="1"/>
    <xf numFmtId="0" fontId="0" fillId="15" borderId="0" xfId="0" applyFill="1"/>
    <xf numFmtId="0" fontId="9" fillId="15" borderId="0" xfId="0" applyFont="1" applyFill="1" applyAlignment="1">
      <alignment horizontal="left" vertical="top" wrapText="1"/>
    </xf>
    <xf numFmtId="0" fontId="9" fillId="15" borderId="0" xfId="0" applyFont="1" applyFill="1" applyAlignment="1">
      <alignment vertical="top" wrapText="1"/>
    </xf>
    <xf numFmtId="0" fontId="33" fillId="15" borderId="0" xfId="0" applyFont="1" applyFill="1" applyAlignment="1">
      <alignment vertical="top" wrapText="1"/>
    </xf>
    <xf numFmtId="0" fontId="10" fillId="15" borderId="0" xfId="0" applyFont="1" applyFill="1" applyAlignment="1">
      <alignment vertical="top" wrapText="1"/>
    </xf>
    <xf numFmtId="0" fontId="34" fillId="15" borderId="0" xfId="0" applyFont="1" applyFill="1" applyAlignment="1">
      <alignment vertical="top" wrapText="1"/>
    </xf>
    <xf numFmtId="0" fontId="32" fillId="15" borderId="0" xfId="0" applyFont="1" applyFill="1"/>
    <xf numFmtId="0" fontId="31" fillId="15" borderId="0" xfId="0" applyFont="1" applyFill="1"/>
    <xf numFmtId="0" fontId="35" fillId="15" borderId="0" xfId="0" applyFont="1" applyFill="1"/>
    <xf numFmtId="0" fontId="40" fillId="15" borderId="0" xfId="0" applyFont="1" applyFill="1"/>
    <xf numFmtId="164" fontId="9" fillId="10" borderId="0" xfId="3" applyNumberFormat="1" applyFont="1" applyFill="1" applyAlignment="1">
      <alignment wrapText="1"/>
    </xf>
    <xf numFmtId="164" fontId="1" fillId="0" borderId="0" xfId="0" applyNumberFormat="1" applyFont="1"/>
    <xf numFmtId="164" fontId="9" fillId="10" borderId="0" xfId="3" applyNumberFormat="1" applyFont="1" applyFill="1" applyAlignment="1">
      <alignment vertical="center"/>
    </xf>
    <xf numFmtId="3" fontId="10" fillId="2" borderId="7" xfId="0" applyNumberFormat="1" applyFont="1" applyFill="1" applyBorder="1"/>
    <xf numFmtId="9" fontId="10" fillId="2" borderId="7" xfId="2" applyFont="1" applyFill="1" applyBorder="1"/>
    <xf numFmtId="3" fontId="9" fillId="10" borderId="0" xfId="0" applyNumberFormat="1" applyFont="1" applyFill="1" applyAlignment="1">
      <alignment vertical="center"/>
    </xf>
    <xf numFmtId="164" fontId="12" fillId="2" borderId="0" xfId="3" applyNumberFormat="1" applyFont="1" applyFill="1" applyAlignment="1">
      <alignment vertical="center"/>
    </xf>
    <xf numFmtId="10" fontId="12" fillId="0" borderId="0" xfId="2" applyNumberFormat="1" applyFont="1"/>
    <xf numFmtId="10" fontId="12" fillId="2" borderId="0" xfId="2" applyNumberFormat="1" applyFont="1" applyFill="1"/>
    <xf numFmtId="168" fontId="1" fillId="0" borderId="0" xfId="0" applyNumberFormat="1" applyFont="1"/>
    <xf numFmtId="164" fontId="16" fillId="9" borderId="7" xfId="3" applyNumberFormat="1" applyFont="1" applyFill="1" applyBorder="1" applyAlignment="1">
      <alignment vertical="center"/>
    </xf>
    <xf numFmtId="0" fontId="16" fillId="9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0" fillId="2" borderId="7" xfId="3" applyNumberFormat="1" applyFont="1" applyFill="1" applyBorder="1" applyAlignment="1">
      <alignment vertical="center"/>
    </xf>
    <xf numFmtId="164" fontId="10" fillId="2" borderId="7" xfId="3" applyNumberFormat="1" applyFont="1" applyFill="1" applyBorder="1" applyAlignment="1">
      <alignment wrapText="1"/>
    </xf>
    <xf numFmtId="164" fontId="10" fillId="10" borderId="7" xfId="3" applyNumberFormat="1" applyFont="1" applyFill="1" applyBorder="1" applyAlignment="1">
      <alignment wrapText="1"/>
    </xf>
    <xf numFmtId="0" fontId="4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9" fontId="1" fillId="0" borderId="0" xfId="1" applyNumberFormat="1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3" fontId="1" fillId="2" borderId="0" xfId="0" applyNumberFormat="1" applyFont="1" applyFill="1" applyAlignment="1">
      <alignment horizontal="right"/>
    </xf>
    <xf numFmtId="3" fontId="50" fillId="0" borderId="0" xfId="0" applyNumberFormat="1" applyFont="1"/>
    <xf numFmtId="167" fontId="6" fillId="0" borderId="0" xfId="0" applyNumberFormat="1" applyFont="1"/>
    <xf numFmtId="170" fontId="6" fillId="0" borderId="0" xfId="0" applyNumberFormat="1" applyFont="1"/>
    <xf numFmtId="0" fontId="1" fillId="12" borderId="0" xfId="0" applyFont="1" applyFill="1" applyAlignment="1">
      <alignment vertical="center"/>
    </xf>
    <xf numFmtId="3" fontId="9" fillId="12" borderId="0" xfId="0" applyNumberFormat="1" applyFont="1" applyFill="1"/>
    <xf numFmtId="164" fontId="11" fillId="12" borderId="0" xfId="3" applyNumberFormat="1" applyFont="1" applyFill="1" applyAlignment="1">
      <alignment vertical="center"/>
    </xf>
    <xf numFmtId="9" fontId="9" fillId="12" borderId="0" xfId="2" applyFont="1" applyFill="1"/>
    <xf numFmtId="3" fontId="24" fillId="2" borderId="1" xfId="0" applyNumberFormat="1" applyFont="1" applyFill="1" applyBorder="1" applyAlignment="1">
      <alignment horizontal="right"/>
    </xf>
    <xf numFmtId="0" fontId="24" fillId="2" borderId="0" xfId="0" applyFont="1" applyFill="1"/>
    <xf numFmtId="164" fontId="9" fillId="2" borderId="0" xfId="0" applyNumberFormat="1" applyFont="1" applyFill="1"/>
    <xf numFmtId="3" fontId="8" fillId="16" borderId="0" xfId="0" applyNumberFormat="1" applyFont="1" applyFill="1"/>
    <xf numFmtId="3" fontId="51" fillId="0" borderId="0" xfId="0" applyNumberFormat="1" applyFont="1"/>
    <xf numFmtId="3" fontId="7" fillId="12" borderId="0" xfId="0" applyNumberFormat="1" applyFont="1" applyFill="1"/>
    <xf numFmtId="3" fontId="51" fillId="2" borderId="0" xfId="0" applyNumberFormat="1" applyFont="1" applyFill="1"/>
    <xf numFmtId="3" fontId="52" fillId="0" borderId="0" xfId="0" applyNumberFormat="1" applyFont="1"/>
    <xf numFmtId="3" fontId="8" fillId="12" borderId="0" xfId="0" applyNumberFormat="1" applyFont="1" applyFill="1"/>
    <xf numFmtId="3" fontId="32" fillId="2" borderId="0" xfId="0" applyNumberFormat="1" applyFont="1" applyFill="1"/>
    <xf numFmtId="3" fontId="32" fillId="12" borderId="0" xfId="0" applyNumberFormat="1" applyFont="1" applyFill="1"/>
    <xf numFmtId="3" fontId="32" fillId="2" borderId="0" xfId="0" applyNumberFormat="1" applyFont="1" applyFill="1" applyAlignment="1">
      <alignment vertical="center"/>
    </xf>
    <xf numFmtId="3" fontId="32" fillId="12" borderId="0" xfId="0" applyNumberFormat="1" applyFont="1" applyFill="1" applyAlignment="1">
      <alignment vertical="center"/>
    </xf>
    <xf numFmtId="3" fontId="11" fillId="12" borderId="0" xfId="0" applyNumberFormat="1" applyFont="1" applyFill="1"/>
    <xf numFmtId="171" fontId="6" fillId="0" borderId="0" xfId="0" applyNumberFormat="1" applyFont="1"/>
    <xf numFmtId="164" fontId="7" fillId="2" borderId="0" xfId="3" applyNumberFormat="1" applyFont="1" applyFill="1" applyAlignment="1">
      <alignment vertical="center"/>
    </xf>
    <xf numFmtId="172" fontId="1" fillId="0" borderId="0" xfId="0" applyNumberFormat="1" applyFont="1"/>
    <xf numFmtId="0" fontId="1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right"/>
    </xf>
    <xf numFmtId="0" fontId="10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48" fillId="17" borderId="1" xfId="0" applyNumberFormat="1" applyFont="1" applyFill="1" applyBorder="1"/>
    <xf numFmtId="164" fontId="9" fillId="2" borderId="0" xfId="3" applyNumberFormat="1" applyFont="1" applyFill="1" applyAlignment="1">
      <alignment horizontal="right" vertical="center"/>
    </xf>
    <xf numFmtId="164" fontId="49" fillId="17" borderId="0" xfId="3" applyNumberFormat="1" applyFont="1" applyFill="1" applyAlignment="1">
      <alignment horizontal="right" vertical="center"/>
    </xf>
    <xf numFmtId="0" fontId="29" fillId="17" borderId="0" xfId="0" applyFont="1" applyFill="1" applyAlignment="1">
      <alignment vertical="top" wrapText="1"/>
    </xf>
    <xf numFmtId="0" fontId="29" fillId="17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29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vertical="top"/>
    </xf>
    <xf numFmtId="164" fontId="10" fillId="2" borderId="1" xfId="3" applyNumberFormat="1" applyFont="1" applyFill="1" applyBorder="1" applyAlignment="1">
      <alignment horizontal="right" vertical="center"/>
    </xf>
    <xf numFmtId="164" fontId="10" fillId="17" borderId="1" xfId="3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9" fillId="17" borderId="0" xfId="0" applyFont="1" applyFill="1" applyAlignment="1">
      <alignment horizontal="right" vertical="center"/>
    </xf>
    <xf numFmtId="0" fontId="24" fillId="17" borderId="8" xfId="0" applyFont="1" applyFill="1" applyBorder="1" applyAlignment="1">
      <alignment vertical="top" wrapText="1"/>
    </xf>
    <xf numFmtId="0" fontId="24" fillId="17" borderId="8" xfId="0" applyFont="1" applyFill="1" applyBorder="1" applyAlignment="1">
      <alignment vertical="top"/>
    </xf>
    <xf numFmtId="0" fontId="9" fillId="2" borderId="0" xfId="0" applyFont="1" applyFill="1" applyAlignment="1">
      <alignment vertical="top" wrapText="1"/>
    </xf>
    <xf numFmtId="164" fontId="9" fillId="17" borderId="0" xfId="3" applyNumberFormat="1" applyFont="1" applyFill="1" applyAlignment="1">
      <alignment horizontal="right" vertical="center"/>
    </xf>
    <xf numFmtId="164" fontId="48" fillId="17" borderId="1" xfId="3" applyNumberFormat="1" applyFont="1" applyFill="1" applyBorder="1" applyAlignment="1">
      <alignment horizontal="right" vertical="center"/>
    </xf>
    <xf numFmtId="0" fontId="48" fillId="17" borderId="0" xfId="0" applyFont="1" applyFill="1" applyAlignment="1">
      <alignment horizontal="right" vertical="center"/>
    </xf>
    <xf numFmtId="3" fontId="24" fillId="2" borderId="1" xfId="0" applyNumberFormat="1" applyFont="1" applyFill="1" applyBorder="1" applyAlignment="1">
      <alignment horizontal="right" vertical="center"/>
    </xf>
    <xf numFmtId="3" fontId="48" fillId="17" borderId="1" xfId="0" applyNumberFormat="1" applyFont="1" applyFill="1" applyBorder="1" applyAlignment="1">
      <alignment horizontal="right" vertical="center"/>
    </xf>
    <xf numFmtId="0" fontId="10" fillId="17" borderId="0" xfId="0" applyFont="1" applyFill="1"/>
    <xf numFmtId="0" fontId="24" fillId="17" borderId="0" xfId="0" applyFont="1" applyFill="1"/>
    <xf numFmtId="164" fontId="7" fillId="17" borderId="0" xfId="3" applyNumberFormat="1" applyFont="1" applyFill="1" applyAlignment="1">
      <alignment vertical="center"/>
    </xf>
    <xf numFmtId="164" fontId="7" fillId="17" borderId="5" xfId="3" applyNumberFormat="1" applyFont="1" applyFill="1" applyBorder="1" applyAlignment="1">
      <alignment vertical="center"/>
    </xf>
    <xf numFmtId="9" fontId="7" fillId="17" borderId="0" xfId="2" applyFont="1" applyFill="1" applyAlignment="1">
      <alignment horizontal="center" vertical="center"/>
    </xf>
    <xf numFmtId="164" fontId="8" fillId="12" borderId="0" xfId="3" applyNumberFormat="1" applyFont="1" applyFill="1" applyAlignment="1">
      <alignment wrapText="1"/>
    </xf>
    <xf numFmtId="10" fontId="8" fillId="12" borderId="0" xfId="2" applyNumberFormat="1" applyFont="1" applyFill="1"/>
    <xf numFmtId="164" fontId="8" fillId="12" borderId="5" xfId="3" applyNumberFormat="1" applyFont="1" applyFill="1" applyBorder="1" applyAlignment="1">
      <alignment vertical="center"/>
    </xf>
    <xf numFmtId="10" fontId="8" fillId="12" borderId="6" xfId="2" applyNumberFormat="1" applyFont="1" applyFill="1" applyBorder="1" applyAlignment="1">
      <alignment vertical="center"/>
    </xf>
    <xf numFmtId="164" fontId="7" fillId="12" borderId="0" xfId="3" applyNumberFormat="1" applyFont="1" applyFill="1" applyAlignment="1">
      <alignment wrapText="1"/>
    </xf>
    <xf numFmtId="3" fontId="8" fillId="12" borderId="5" xfId="0" applyNumberFormat="1" applyFont="1" applyFill="1" applyBorder="1"/>
    <xf numFmtId="164" fontId="53" fillId="18" borderId="1" xfId="3" applyNumberFormat="1" applyFont="1" applyFill="1" applyBorder="1" applyAlignment="1">
      <alignment horizontal="center" vertical="center" wrapText="1"/>
    </xf>
    <xf numFmtId="0" fontId="53" fillId="18" borderId="1" xfId="0" applyFont="1" applyFill="1" applyBorder="1" applyAlignment="1">
      <alignment horizontal="center" vertical="center" wrapText="1"/>
    </xf>
    <xf numFmtId="0" fontId="19" fillId="18" borderId="0" xfId="0" applyFont="1" applyFill="1"/>
    <xf numFmtId="0" fontId="19" fillId="18" borderId="4" xfId="0" applyFont="1" applyFill="1" applyBorder="1"/>
    <xf numFmtId="0" fontId="24" fillId="18" borderId="0" xfId="0" applyFont="1" applyFill="1"/>
    <xf numFmtId="0" fontId="1" fillId="18" borderId="0" xfId="0" applyFont="1" applyFill="1"/>
    <xf numFmtId="0" fontId="24" fillId="18" borderId="0" xfId="0" applyFont="1" applyFill="1" applyAlignment="1">
      <alignment vertical="center"/>
    </xf>
    <xf numFmtId="164" fontId="10" fillId="18" borderId="1" xfId="3" applyNumberFormat="1" applyFont="1" applyFill="1" applyBorder="1" applyAlignment="1">
      <alignment vertical="center"/>
    </xf>
    <xf numFmtId="0" fontId="10" fillId="18" borderId="1" xfId="0" applyFont="1" applyFill="1" applyBorder="1" applyAlignment="1">
      <alignment horizontal="center" vertical="center"/>
    </xf>
    <xf numFmtId="164" fontId="16" fillId="18" borderId="1" xfId="3" applyNumberFormat="1" applyFont="1" applyFill="1" applyBorder="1" applyAlignment="1">
      <alignment vertical="center"/>
    </xf>
    <xf numFmtId="0" fontId="16" fillId="18" borderId="1" xfId="0" applyFont="1" applyFill="1" applyBorder="1" applyAlignment="1">
      <alignment horizontal="center" vertical="center"/>
    </xf>
    <xf numFmtId="164" fontId="9" fillId="18" borderId="0" xfId="3" applyNumberFormat="1" applyFont="1" applyFill="1" applyAlignment="1">
      <alignment wrapText="1"/>
    </xf>
    <xf numFmtId="0" fontId="17" fillId="18" borderId="0" xfId="0" applyFont="1" applyFill="1"/>
    <xf numFmtId="164" fontId="17" fillId="18" borderId="0" xfId="3" applyNumberFormat="1" applyFont="1" applyFill="1" applyAlignment="1">
      <alignment wrapText="1"/>
    </xf>
    <xf numFmtId="10" fontId="9" fillId="18" borderId="0" xfId="2" applyNumberFormat="1" applyFont="1" applyFill="1" applyAlignment="1">
      <alignment horizontal="right" wrapText="1"/>
    </xf>
    <xf numFmtId="166" fontId="9" fillId="18" borderId="0" xfId="3" applyNumberFormat="1" applyFont="1" applyFill="1" applyAlignment="1">
      <alignment horizontal="right" wrapText="1"/>
    </xf>
    <xf numFmtId="9" fontId="9" fillId="18" borderId="0" xfId="2" applyFont="1" applyFill="1" applyAlignment="1">
      <alignment horizontal="right" wrapText="1"/>
    </xf>
    <xf numFmtId="164" fontId="9" fillId="18" borderId="0" xfId="3" applyNumberFormat="1" applyFont="1" applyFill="1" applyAlignment="1">
      <alignment horizontal="right" wrapText="1"/>
    </xf>
    <xf numFmtId="0" fontId="16" fillId="18" borderId="0" xfId="0" applyFont="1" applyFill="1"/>
    <xf numFmtId="164" fontId="9" fillId="18" borderId="0" xfId="3" applyNumberFormat="1" applyFont="1" applyFill="1" applyAlignment="1">
      <alignment vertical="center"/>
    </xf>
    <xf numFmtId="164" fontId="10" fillId="18" borderId="0" xfId="3" applyNumberFormat="1" applyFont="1" applyFill="1" applyAlignment="1">
      <alignment vertical="center"/>
    </xf>
    <xf numFmtId="0" fontId="41" fillId="15" borderId="0" xfId="0" applyFont="1" applyFill="1" applyAlignment="1">
      <alignment horizontal="left" vertical="top" wrapText="1"/>
    </xf>
    <xf numFmtId="0" fontId="40" fillId="15" borderId="0" xfId="0" applyFont="1" applyFill="1" applyAlignment="1">
      <alignment horizontal="left" vertical="top" wrapText="1"/>
    </xf>
    <xf numFmtId="0" fontId="38" fillId="15" borderId="0" xfId="0" applyFont="1" applyFill="1" applyAlignment="1">
      <alignment horizontal="left"/>
    </xf>
    <xf numFmtId="0" fontId="23" fillId="14" borderId="0" xfId="0" applyFont="1" applyFill="1" applyAlignment="1">
      <alignment horizontal="left"/>
    </xf>
    <xf numFmtId="0" fontId="32" fillId="15" borderId="0" xfId="0" applyFont="1" applyFill="1" applyAlignment="1">
      <alignment horizontal="left" vertical="top" wrapText="1"/>
    </xf>
    <xf numFmtId="0" fontId="11" fillId="15" borderId="0" xfId="0" applyFont="1" applyFill="1" applyAlignment="1">
      <alignment horizontal="left" vertical="top" wrapText="1"/>
    </xf>
    <xf numFmtId="0" fontId="9" fillId="15" borderId="0" xfId="0" applyFont="1" applyFill="1" applyAlignment="1">
      <alignment horizontal="left" vertical="top" wrapText="1"/>
    </xf>
    <xf numFmtId="0" fontId="10" fillId="15" borderId="0" xfId="0" applyFont="1" applyFill="1" applyAlignment="1">
      <alignment horizontal="left" vertical="top" wrapText="1"/>
    </xf>
    <xf numFmtId="0" fontId="14" fillId="15" borderId="0" xfId="0" applyFont="1" applyFill="1" applyAlignment="1">
      <alignment horizontal="left" vertical="top" wrapText="1"/>
    </xf>
    <xf numFmtId="0" fontId="53" fillId="1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0" fontId="19" fillId="11" borderId="7" xfId="2" applyNumberFormat="1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/>
    </xf>
    <xf numFmtId="0" fontId="24" fillId="18" borderId="0" xfId="0" applyFont="1" applyFill="1" applyAlignment="1">
      <alignment horizontal="left"/>
    </xf>
    <xf numFmtId="0" fontId="24" fillId="14" borderId="0" xfId="0" applyFont="1" applyFill="1" applyAlignment="1">
      <alignment horizontal="left"/>
    </xf>
    <xf numFmtId="0" fontId="16" fillId="18" borderId="0" xfId="0" applyFont="1" applyFill="1" applyAlignment="1">
      <alignment horizontal="left"/>
    </xf>
    <xf numFmtId="0" fontId="55" fillId="18" borderId="0" xfId="0" applyFont="1" applyFill="1" applyAlignment="1">
      <alignment horizontal="center"/>
    </xf>
    <xf numFmtId="0" fontId="39" fillId="13" borderId="0" xfId="0" applyFont="1" applyFill="1" applyAlignment="1">
      <alignment horizontal="left"/>
    </xf>
    <xf numFmtId="0" fontId="55" fillId="18" borderId="0" xfId="0" applyFont="1" applyFill="1" applyAlignment="1">
      <alignment horizontal="left"/>
    </xf>
    <xf numFmtId="0" fontId="24" fillId="13" borderId="0" xfId="0" applyFont="1" applyFill="1" applyAlignment="1">
      <alignment horizontal="left"/>
    </xf>
    <xf numFmtId="0" fontId="45" fillId="13" borderId="0" xfId="0" applyFont="1" applyFill="1" applyAlignment="1">
      <alignment horizontal="left"/>
    </xf>
    <xf numFmtId="0" fontId="54" fillId="18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37"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219EBC"/>
      <color rgb="FFF59F9D"/>
      <color rgb="FFC3DEB0"/>
      <color rgb="FFE92823"/>
      <color rgb="FFE8EBF0"/>
      <color rgb="FFE3E7ED"/>
      <color rgb="FFCCD3DE"/>
      <color rgb="FFFF3B0D"/>
      <color rgb="FFFF6D4B"/>
      <color rgb="FF8BC1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6.5016831099578313E-3"/>
          <c:w val="0.96834461831348051"/>
          <c:h val="0.84494112489723616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'2.Comprehensive income'!$C$3:$I$3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'2.Comprehensive income'!$C$4:$I$4</c:f>
              <c:numCache>
                <c:formatCode>_(* #,##0_);_(* \(#,##0\);_(* "-"_);_(@_)</c:formatCode>
                <c:ptCount val="7"/>
                <c:pt idx="0">
                  <c:v>195140694.54999998</c:v>
                </c:pt>
                <c:pt idx="1">
                  <c:v>198460718.70000002</c:v>
                </c:pt>
                <c:pt idx="2">
                  <c:v>183857279.62999997</c:v>
                </c:pt>
                <c:pt idx="3">
                  <c:v>181146471.98999998</c:v>
                </c:pt>
                <c:pt idx="4">
                  <c:v>264737647</c:v>
                </c:pt>
                <c:pt idx="5">
                  <c:v>262801054</c:v>
                </c:pt>
                <c:pt idx="6">
                  <c:v>214230854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130000000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219EB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in 2023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hiddenPage!$Q$16</c:f>
                  <c:strCache>
                    <c:ptCount val="1"/>
                    <c:pt idx="0">
                      <c:v> 55,388,563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{25240685-923F-491F-BA8A-18C05997E143}</c15:txfldGUID>
                      <c15:f>hiddenPage!$Q$16</c15:f>
                      <c15:dlblFieldTableCache>
                        <c:ptCount val="1"/>
                        <c:pt idx="0">
                          <c:v> 55,388,563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hiddenPage!$Q$17</c:f>
                  <c:strCache>
                    <c:ptCount val="1"/>
                    <c:pt idx="0">
                      <c:v> 30,951,095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{76BACB3C-9D2C-4CD0-BEC6-8AEB560FB1CC}</c15:txfldGUID>
                      <c15:f>hiddenPage!$Q$17</c15:f>
                      <c15:dlblFieldTableCache>
                        <c:ptCount val="1"/>
                        <c:pt idx="0">
                          <c:v> 30,951,095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hiddenPage!$Q$18</c:f>
                  <c:strCache>
                    <c:ptCount val="1"/>
                    <c:pt idx="0">
                      <c:v> 29,382,497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{82532367-06F6-4D8D-A8F4-9C5028308D4E}</c15:txfldGUID>
                      <c15:f>hiddenPage!$Q$18</c15:f>
                      <c15:dlblFieldTableCache>
                        <c:ptCount val="1"/>
                        <c:pt idx="0">
                          <c:v> 29,382,497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hiddenPage!$Q$19</c:f>
                  <c:strCache>
                    <c:ptCount val="1"/>
                    <c:pt idx="0">
                      <c:v> 5,929,217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{C370822C-C7EF-465E-BBF3-5116D400AE60}</c15:txfldGUID>
                      <c15:f>hiddenPage!$Q$19</c15:f>
                      <c15:dlblFieldTableCache>
                        <c:ptCount val="1"/>
                        <c:pt idx="0">
                          <c:v> 5,929,217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hiddenPage!$Q$20</c:f>
                  <c:strCache>
                    <c:ptCount val="1"/>
                    <c:pt idx="0">
                      <c:v> 546,176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{141D4B42-FE5F-42E3-8A24-EC2E755024FA}</c15:txfldGUID>
                      <c15:f>hiddenPage!$Q$20</c15:f>
                      <c15:dlblFieldTableCache>
                        <c:ptCount val="1"/>
                        <c:pt idx="0">
                          <c:v> 546,176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hiddenPage!$Q$21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{B7EF183D-FA27-41B4-8AF2-8EE73CCCED7A}</c15:txfldGUID>
                      <c15:f>hiddenPage!$Q$21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hiddenPage!$N$16:$N$21</c:f>
              <c:strCache>
                <c:ptCount val="6"/>
                <c:pt idx="0">
                  <c:v>Trade and other current receivables</c:v>
                </c:pt>
                <c:pt idx="1">
                  <c:v>Current inventories</c:v>
                </c:pt>
                <c:pt idx="2">
                  <c:v>Cash and cash equivalents</c:v>
                </c:pt>
                <c:pt idx="3">
                  <c:v>Other current financial assets</c:v>
                </c:pt>
                <c:pt idx="4">
                  <c:v>Other current non-financial assets</c:v>
                </c:pt>
                <c:pt idx="5">
                  <c:v>Non-current assets or disposal groups classified as held for sale or as held for distribution to owners</c:v>
                </c:pt>
              </c:strCache>
            </c:strRef>
          </c:cat>
          <c:val>
            <c:numRef>
              <c:f>hiddenPage!$R$16:$R$21</c:f>
              <c:numCache>
                <c:formatCode>0%</c:formatCode>
                <c:ptCount val="6"/>
                <c:pt idx="0">
                  <c:v>0.45327065809863876</c:v>
                </c:pt>
                <c:pt idx="1">
                  <c:v>0.2532873654715232</c:v>
                </c:pt>
                <c:pt idx="2">
                  <c:v>0.2404507903873816</c:v>
                </c:pt>
                <c:pt idx="3">
                  <c:v>4.8521570989296776E-2</c:v>
                </c:pt>
                <c:pt idx="4">
                  <c:v>4.4696150531596595E-3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0.12601159890994212"/>
          <c:w val="0.91308389130785295"/>
          <c:h val="0.75899893459721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Snapshots!$A$7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Snapshots!$D$3:$H$3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Snapshots!$B$7:$H$7</c:f>
              <c:numCache>
                <c:formatCode>_(* #,##0_);_(* \(#,##0\);_(* "-"_);_(@_)</c:formatCode>
                <c:ptCount val="7"/>
                <c:pt idx="0">
                  <c:v>12182514.040000001</c:v>
                </c:pt>
                <c:pt idx="1">
                  <c:v>11384242.279999956</c:v>
                </c:pt>
                <c:pt idx="2">
                  <c:v>12318776.420000032</c:v>
                </c:pt>
                <c:pt idx="3">
                  <c:v>12374753.540000008</c:v>
                </c:pt>
                <c:pt idx="4">
                  <c:v>13987047.550000012</c:v>
                </c:pt>
                <c:pt idx="5">
                  <c:v>15025300.380000001</c:v>
                </c:pt>
                <c:pt idx="6">
                  <c:v>4873275.8999999762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F-47BA-AF94-58E4BC4E7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Snapshots!$A$9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Snapshots!$D$3:$H$3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Snapshots!$B$9:$H$9</c:f>
              <c:numCache>
                <c:formatCode>_(* #,##0_);_(* \(#,##0\);_(* "-"_);_(@_)</c:formatCode>
                <c:ptCount val="7"/>
                <c:pt idx="0">
                  <c:v>4798065.6499999948</c:v>
                </c:pt>
                <c:pt idx="1">
                  <c:v>4800354.1700000176</c:v>
                </c:pt>
                <c:pt idx="2">
                  <c:v>370097.9599999818</c:v>
                </c:pt>
                <c:pt idx="3">
                  <c:v>869105.43999996176</c:v>
                </c:pt>
                <c:pt idx="4">
                  <c:v>-1447458</c:v>
                </c:pt>
                <c:pt idx="5">
                  <c:v>51471690</c:v>
                </c:pt>
                <c:pt idx="6">
                  <c:v>3313809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F-47BA-AF94-58E4BC4E7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655975327374997"/>
          <c:y val="3.1265867184154229E-2"/>
          <c:w val="0.41506896752444017"/>
          <c:h val="6.689877415512907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  <a:latin typeface="Candara" panose="020E0502030303020204" pitchFamily="34" charset="0"/>
              </a:rPr>
              <a:t>Evolution of the item "Net sales"</a:t>
            </a:r>
            <a:endParaRPr lang="ro-RO" sz="110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29054614111197696"/>
          <c:y val="0"/>
        </c:manualLayout>
      </c:layout>
      <c:overlay val="0"/>
      <c:spPr>
        <a:solidFill>
          <a:srgbClr val="219EBC"/>
        </a:solidFill>
        <a:ln>
          <a:solidFill>
            <a:schemeClr val="accent4">
              <a:lumMod val="20000"/>
              <a:lumOff val="8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Snapshots!$B$3:$H$3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Snapshots!$B$4:$H$4</c:f>
              <c:numCache>
                <c:formatCode>_(* #,##0_);_(* \(#,##0\);_(* "-"_);_(@_)</c:formatCode>
                <c:ptCount val="7"/>
                <c:pt idx="0">
                  <c:v>195140694.54999998</c:v>
                </c:pt>
                <c:pt idx="1">
                  <c:v>198460718.70000002</c:v>
                </c:pt>
                <c:pt idx="2">
                  <c:v>183857279.62999997</c:v>
                </c:pt>
                <c:pt idx="3">
                  <c:v>181146471.98999998</c:v>
                </c:pt>
                <c:pt idx="4">
                  <c:v>264737647</c:v>
                </c:pt>
                <c:pt idx="5">
                  <c:v>262801054</c:v>
                </c:pt>
                <c:pt idx="6">
                  <c:v>214230854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4-4D27-BCEC-B50849E37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  <c:min val="50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75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hiddenPage!$A$63</c:f>
          <c:strCache>
            <c:ptCount val="1"/>
            <c:pt idx="0">
              <c:v>Evolution of the sector "Regenerated polymers&amp;compounds"</c:v>
            </c:pt>
          </c:strCache>
        </c:strRef>
      </c:tx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182864793753661E-2"/>
          <c:y val="0.19539370078740156"/>
          <c:w val="0.94563427041249271"/>
          <c:h val="0.69720691163604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hiddenPage!$B$75:$H$75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hiddenPage!$B$76:$H$76</c:f>
              <c:numCache>
                <c:formatCode>#,##0</c:formatCode>
                <c:ptCount val="7"/>
                <c:pt idx="0">
                  <c:v>32045842.160000008</c:v>
                </c:pt>
                <c:pt idx="1">
                  <c:v>34431228.289999992</c:v>
                </c:pt>
                <c:pt idx="2">
                  <c:v>30961367.02</c:v>
                </c:pt>
                <c:pt idx="3">
                  <c:v>23154618.529999994</c:v>
                </c:pt>
                <c:pt idx="4">
                  <c:v>38271305.11999999</c:v>
                </c:pt>
                <c:pt idx="5">
                  <c:v>46502131.649999984</c:v>
                </c:pt>
                <c:pt idx="6">
                  <c:v>37905250.480000019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3-45DA-892E-0D6CCDAB2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07431983"/>
        <c:axId val="374026095"/>
      </c:barChart>
      <c:catAx>
        <c:axId val="10743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374026095"/>
        <c:crosses val="autoZero"/>
        <c:auto val="1"/>
        <c:lblAlgn val="ctr"/>
        <c:lblOffset val="100"/>
        <c:noMultiLvlLbl val="0"/>
      </c:catAx>
      <c:valAx>
        <c:axId val="3740260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431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hiddenPage!$A$63</c:f>
          <c:strCache>
            <c:ptCount val="1"/>
            <c:pt idx="0">
              <c:v>Evolution of the sector "Regenerated polymers&amp;compounds"</c:v>
            </c:pt>
          </c:strCache>
        </c:strRef>
      </c:tx>
      <c:overlay val="0"/>
      <c:spPr>
        <a:solidFill>
          <a:schemeClr val="tx2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182864793753661E-2"/>
          <c:y val="0.19539370078740156"/>
          <c:w val="0.94563427041249271"/>
          <c:h val="0.69720691163604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hiddenPage!$B$75:$H$75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hiddenPage!$B$76:$H$76</c:f>
              <c:numCache>
                <c:formatCode>#,##0</c:formatCode>
                <c:ptCount val="7"/>
                <c:pt idx="0">
                  <c:v>32045842.160000008</c:v>
                </c:pt>
                <c:pt idx="1">
                  <c:v>34431228.289999992</c:v>
                </c:pt>
                <c:pt idx="2">
                  <c:v>30961367.02</c:v>
                </c:pt>
                <c:pt idx="3">
                  <c:v>23154618.529999994</c:v>
                </c:pt>
                <c:pt idx="4">
                  <c:v>38271305.11999999</c:v>
                </c:pt>
                <c:pt idx="5">
                  <c:v>46502131.649999984</c:v>
                </c:pt>
                <c:pt idx="6">
                  <c:v>37905250.480000019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6-432E-89C8-1E415E7F3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07431983"/>
        <c:axId val="374026095"/>
      </c:barChart>
      <c:catAx>
        <c:axId val="10743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374026095"/>
        <c:crosses val="autoZero"/>
        <c:auto val="1"/>
        <c:lblAlgn val="ctr"/>
        <c:lblOffset val="100"/>
        <c:noMultiLvlLbl val="0"/>
      </c:catAx>
      <c:valAx>
        <c:axId val="37402609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7431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non-current assets vs. Total current assets</c:v>
            </c:pt>
          </c:strCache>
        </c:strRef>
      </c:tx>
      <c:layout>
        <c:manualLayout>
          <c:xMode val="edge"/>
          <c:yMode val="edge"/>
          <c:x val="0.60005873942750176"/>
          <c:y val="1.4362797370776868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575814682984529"/>
          <c:y val="0.11303977693424487"/>
          <c:w val="0.811863079615048"/>
          <c:h val="0.6684600442234914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non-current assets</c:v>
                </c:pt>
              </c:strCache>
            </c:strRef>
          </c:tx>
          <c:spPr>
            <a:ln w="19050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hiddenPage!$B$3:$H$3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hiddenPage!$B$4:$H$4</c:f>
              <c:numCache>
                <c:formatCode>_-* #,##0_-;\-* #,##0_-;_-* "-"??_-;_-@_-</c:formatCode>
                <c:ptCount val="7"/>
                <c:pt idx="0">
                  <c:v>210024646.26000002</c:v>
                </c:pt>
                <c:pt idx="1">
                  <c:v>170408687.35000002</c:v>
                </c:pt>
                <c:pt idx="2">
                  <c:v>163480244.93000001</c:v>
                </c:pt>
                <c:pt idx="3">
                  <c:v>152917930.06</c:v>
                </c:pt>
                <c:pt idx="4">
                  <c:v>138364502</c:v>
                </c:pt>
                <c:pt idx="5">
                  <c:v>133313884</c:v>
                </c:pt>
                <c:pt idx="6">
                  <c:v>118936705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1-44B5-AFF6-41EB06D27B78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hiddenPage!$B$3:$H$3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hiddenPage!$B$5:$H$5</c:f>
              <c:numCache>
                <c:formatCode>_-* #,##0_-;\-* #,##0_-;_-* "-"??_-;_-@_-</c:formatCode>
                <c:ptCount val="7"/>
                <c:pt idx="0">
                  <c:v>59667442.590000004</c:v>
                </c:pt>
                <c:pt idx="1">
                  <c:v>82932100.889999986</c:v>
                </c:pt>
                <c:pt idx="2">
                  <c:v>82714659.589999989</c:v>
                </c:pt>
                <c:pt idx="3">
                  <c:v>78436250.86999999</c:v>
                </c:pt>
                <c:pt idx="4">
                  <c:v>105658368</c:v>
                </c:pt>
                <c:pt idx="5">
                  <c:v>146753533</c:v>
                </c:pt>
                <c:pt idx="6">
                  <c:v>122197548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1-44B5-AFF6-41EB06D27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49623012157207E-3"/>
          <c:y val="0.90972966142504075"/>
          <c:w val="0.99235037698784279"/>
          <c:h val="8.0790496371073689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non-current assets vs. Total current assets</c:v>
            </c:pt>
          </c:strCache>
        </c:strRef>
      </c:tx>
      <c:layout>
        <c:manualLayout>
          <c:xMode val="edge"/>
          <c:yMode val="edge"/>
          <c:x val="0.58147524900873404"/>
          <c:y val="1.388879988147983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026609737938493E-2"/>
          <c:y val="0.15712743896531589"/>
          <c:w val="0.97197339026206153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non-current assets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hiddenPage!$B$83</c:f>
                  <c:strCache>
                    <c:ptCount val="1"/>
                    <c:pt idx="0">
                      <c:v>78%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{708AA1F3-BD6F-4DD1-B6F0-E5E6D5547801}</c15:txfldGUID>
                      <c15:f>hiddenPage!$B$83</c15:f>
                      <c15:dlblFieldTableCache>
                        <c:ptCount val="1"/>
                        <c:pt idx="0">
                          <c:v>78%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169-4A57-89C2-A2C186F54A08}"/>
                </c:ext>
              </c:extLst>
            </c:dLbl>
            <c:dLbl>
              <c:idx val="1"/>
              <c:tx>
                <c:strRef>
                  <c:f>hiddenPage!$C$83</c:f>
                  <c:strCache>
                    <c:ptCount val="1"/>
                    <c:pt idx="0">
                      <c:v>67%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{3B807453-690E-4732-B0ED-77E09D6973AC}</c15:txfldGUID>
                      <c15:f>hiddenPage!$C$83</c15:f>
                      <c15:dlblFieldTableCache>
                        <c:ptCount val="1"/>
                        <c:pt idx="0">
                          <c:v>67%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169-4A57-89C2-A2C186F54A08}"/>
                </c:ext>
              </c:extLst>
            </c:dLbl>
            <c:dLbl>
              <c:idx val="2"/>
              <c:tx>
                <c:strRef>
                  <c:f>hiddenPage!$D$83</c:f>
                  <c:strCache>
                    <c:ptCount val="1"/>
                    <c:pt idx="0">
                      <c:v>66%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{F0BFC34F-101E-491B-A7B0-C6FE2E6CB754}</c15:txfldGUID>
                      <c15:f>hiddenPage!$D$83</c15:f>
                      <c15:dlblFieldTableCache>
                        <c:ptCount val="1"/>
                        <c:pt idx="0">
                          <c:v>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53B-422F-8942-6A1FAFC54339}"/>
                </c:ext>
              </c:extLst>
            </c:dLbl>
            <c:dLbl>
              <c:idx val="3"/>
              <c:layout>
                <c:manualLayout>
                  <c:x val="0"/>
                  <c:y val="-9.2053766648050542E-3"/>
                </c:manualLayout>
              </c:layout>
              <c:tx>
                <c:strRef>
                  <c:f>hiddenPage!$E$83</c:f>
                  <c:strCache>
                    <c:ptCount val="1"/>
                    <c:pt idx="0">
                      <c:v>66%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{6B667275-192F-4D90-9B50-18733BF4A358}</c15:txfldGUID>
                      <c15:f>hiddenPage!$E$83</c15:f>
                      <c15:dlblFieldTableCache>
                        <c:ptCount val="1"/>
                        <c:pt idx="0">
                          <c:v>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53B-422F-8942-6A1FAFC54339}"/>
                </c:ext>
              </c:extLst>
            </c:dLbl>
            <c:dLbl>
              <c:idx val="4"/>
              <c:tx>
                <c:strRef>
                  <c:f>hiddenPage!$F$83</c:f>
                  <c:strCache>
                    <c:ptCount val="1"/>
                    <c:pt idx="0">
                      <c:v>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{E3C9E383-6F7A-46DD-8794-CDB8A4C29629}</c15:txfldGUID>
                      <c15:f>hiddenPage!$F$83</c15:f>
                      <c15:dlblFieldTableCache>
                        <c:ptCount val="1"/>
                        <c:pt idx="0">
                          <c:v>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53B-422F-8942-6A1FAFC54339}"/>
                </c:ext>
              </c:extLst>
            </c:dLbl>
            <c:dLbl>
              <c:idx val="5"/>
              <c:tx>
                <c:strRef>
                  <c:f>hiddenPage!$G$83</c:f>
                  <c:strCache>
                    <c:ptCount val="1"/>
                    <c:pt idx="0">
                      <c:v>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{7245423F-67B5-46BA-9846-208E184B8FB1}</c15:txfldGUID>
                      <c15:f>hiddenPage!$G$83</c15:f>
                      <c15:dlblFieldTableCache>
                        <c:ptCount val="1"/>
                        <c:pt idx="0">
                          <c:v>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767-495F-9079-D06147E7B4F2}"/>
                </c:ext>
              </c:extLst>
            </c:dLbl>
            <c:dLbl>
              <c:idx val="6"/>
              <c:tx>
                <c:strRef>
                  <c:f>hiddenPage!$H$83</c:f>
                  <c:strCache>
                    <c:ptCount val="1"/>
                    <c:pt idx="0">
                      <c:v>49%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{80238E3C-89D0-4B5F-A64D-624BD42C1C61}</c15:txfldGUID>
                      <c15:f>hiddenPage!$H$83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767-495F-9079-D06147E7B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hiddenPage!$B$9:$H$9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hiddenPage!$B$10:$H$10</c:f>
              <c:numCache>
                <c:formatCode>_-* #,##0_-;\-* #,##0_-;_-* "-"??_-;_-@_-</c:formatCode>
                <c:ptCount val="7"/>
                <c:pt idx="0">
                  <c:v>210024646.26000002</c:v>
                </c:pt>
                <c:pt idx="1">
                  <c:v>170408687.35000002</c:v>
                </c:pt>
                <c:pt idx="2">
                  <c:v>163480244.93000001</c:v>
                </c:pt>
                <c:pt idx="3">
                  <c:v>152917930.06</c:v>
                </c:pt>
                <c:pt idx="4">
                  <c:v>138364502</c:v>
                </c:pt>
                <c:pt idx="5">
                  <c:v>133313884</c:v>
                </c:pt>
                <c:pt idx="6">
                  <c:v>118936705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hiddenPage!$B$84</c:f>
                  <c:strCache>
                    <c:ptCount val="1"/>
                    <c:pt idx="0">
                      <c:v>22%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{4B436525-56A5-462A-9973-5AD469111675}</c15:txfldGUID>
                      <c15:f>hiddenPage!$B$84</c15:f>
                      <c15:dlblFieldTableCache>
                        <c:ptCount val="1"/>
                        <c:pt idx="0">
                          <c:v>22%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169-4A57-89C2-A2C186F54A08}"/>
                </c:ext>
              </c:extLst>
            </c:dLbl>
            <c:dLbl>
              <c:idx val="1"/>
              <c:tx>
                <c:strRef>
                  <c:f>hiddenPage!$C$84</c:f>
                  <c:strCache>
                    <c:ptCount val="1"/>
                    <c:pt idx="0">
                      <c:v>33%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{CD9C0625-3EAE-4F84-874F-F4C49F2DC3B7}</c15:txfldGUID>
                      <c15:f>hiddenPage!$C$84</c15:f>
                      <c15:dlblFieldTableCache>
                        <c:ptCount val="1"/>
                        <c:pt idx="0">
                          <c:v>33%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169-4A57-89C2-A2C186F54A08}"/>
                </c:ext>
              </c:extLst>
            </c:dLbl>
            <c:dLbl>
              <c:idx val="2"/>
              <c:tx>
                <c:strRef>
                  <c:f>hiddenPage!$D$84</c:f>
                  <c:strCache>
                    <c:ptCount val="1"/>
                    <c:pt idx="0">
                      <c:v>34%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{F8469C26-EB87-4407-BFA3-8F95821E22E6}</c15:txfldGUID>
                      <c15:f>hiddenPage!$D$84</c15:f>
                      <c15:dlblFieldTableCache>
                        <c:ptCount val="1"/>
                        <c:pt idx="0">
                          <c:v>34%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53B-422F-8942-6A1FAFC54339}"/>
                </c:ext>
              </c:extLst>
            </c:dLbl>
            <c:dLbl>
              <c:idx val="3"/>
              <c:tx>
                <c:strRef>
                  <c:f>hiddenPage!$E$84</c:f>
                  <c:strCache>
                    <c:ptCount val="1"/>
                    <c:pt idx="0">
                      <c:v>34%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{97383184-0728-4D67-B42C-6CA5A81AC0C4}</c15:txfldGUID>
                      <c15:f>hiddenPage!$E$84</c15:f>
                      <c15:dlblFieldTableCache>
                        <c:ptCount val="1"/>
                        <c:pt idx="0">
                          <c:v>34%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53B-422F-8942-6A1FAFC54339}"/>
                </c:ext>
              </c:extLst>
            </c:dLbl>
            <c:dLbl>
              <c:idx val="4"/>
              <c:tx>
                <c:strRef>
                  <c:f>hiddenPage!$F$84</c:f>
                  <c:strCache>
                    <c:ptCount val="1"/>
                    <c:pt idx="0">
                      <c:v>43%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{FFDB7EA8-B127-420C-BF8B-E8CBCD1DA354}</c15:txfldGUID>
                      <c15:f>hiddenPage!$F$84</c15:f>
                      <c15:dlblFieldTableCache>
                        <c:ptCount val="1"/>
                        <c:pt idx="0">
                          <c:v>43%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353B-422F-8942-6A1FAFC54339}"/>
                </c:ext>
              </c:extLst>
            </c:dLbl>
            <c:dLbl>
              <c:idx val="5"/>
              <c:tx>
                <c:strRef>
                  <c:f>hiddenPage!$G$84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{BFE8B60C-DA62-4AF5-8946-558E0D78FBE4}</c15:txfldGUID>
                      <c15:f>hiddenPage!$G$84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767-495F-9079-D06147E7B4F2}"/>
                </c:ext>
              </c:extLst>
            </c:dLbl>
            <c:dLbl>
              <c:idx val="6"/>
              <c:tx>
                <c:strRef>
                  <c:f>hiddenPage!$H$84</c:f>
                  <c:strCache>
                    <c:ptCount val="1"/>
                    <c:pt idx="0">
                      <c:v>51%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{5695F031-57FE-4331-BBC4-9D89852A2A5F}</c15:txfldGUID>
                      <c15:f>hiddenPage!$H$84</c15:f>
                      <c15:dlblFieldTableCache>
                        <c:ptCount val="1"/>
                        <c:pt idx="0">
                          <c:v>51%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767-495F-9079-D06147E7B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hiddenPage!$B$9:$H$9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hiddenPage!$B$11:$H$11</c:f>
              <c:numCache>
                <c:formatCode>_-* #,##0_-;\-* #,##0_-;_-* "-"??_-;_-@_-</c:formatCode>
                <c:ptCount val="7"/>
                <c:pt idx="0">
                  <c:v>59667442.590000004</c:v>
                </c:pt>
                <c:pt idx="1">
                  <c:v>82932100.889999986</c:v>
                </c:pt>
                <c:pt idx="2">
                  <c:v>82714659.589999989</c:v>
                </c:pt>
                <c:pt idx="3">
                  <c:v>78436250.86999999</c:v>
                </c:pt>
                <c:pt idx="4">
                  <c:v>105658368</c:v>
                </c:pt>
                <c:pt idx="5">
                  <c:v>146753533</c:v>
                </c:pt>
                <c:pt idx="6">
                  <c:v>122197548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hiddenPage!$A$90</c:f>
              <c:strCache>
                <c:ptCount val="1"/>
                <c:pt idx="0">
                  <c:v>Total Assets</c:v>
                </c:pt>
              </c:strCache>
            </c:strRef>
          </c:tx>
          <c:spPr>
            <a:ln w="952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20000"/>
                  <a:lumOff val="8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hiddenPage!$B$86:$H$86</c:f>
              <c:numCache>
                <c:formatCode>_-* #,##0_-;\-* #,##0_-;_-* "-"??_-;_-@_-</c:formatCode>
                <c:ptCount val="7"/>
                <c:pt idx="0">
                  <c:v>269692088.85000002</c:v>
                </c:pt>
                <c:pt idx="1">
                  <c:v>253340788.24000001</c:v>
                </c:pt>
                <c:pt idx="2">
                  <c:v>246194904.51999998</c:v>
                </c:pt>
                <c:pt idx="3">
                  <c:v>231354180.93000001</c:v>
                </c:pt>
                <c:pt idx="4">
                  <c:v>244022870</c:v>
                </c:pt>
                <c:pt idx="5">
                  <c:v>280067417</c:v>
                </c:pt>
                <c:pt idx="6">
                  <c:v>241134253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53B-422F-8942-6A1FAFC54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696952114282936"/>
          <c:w val="0.98855056892937399"/>
          <c:h val="7.7670909233898841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hiddenPage!$D$7</c:f>
          <c:strCache>
            <c:ptCount val="1"/>
            <c:pt idx="0">
              <c:v>2023 structure of Assets</c:v>
            </c:pt>
          </c:strCache>
        </c:strRef>
      </c:tx>
      <c:layout>
        <c:manualLayout>
          <c:xMode val="edge"/>
          <c:yMode val="edge"/>
          <c:x val="0.51920158128382099"/>
          <c:y val="1.3888888888888888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8440620848319886"/>
          <c:y val="9.5325117930938674E-2"/>
          <c:w val="0.62127530668858089"/>
          <c:h val="0.89499163460435005"/>
        </c:manualLayout>
      </c:layout>
      <c:pieChart>
        <c:varyColors val="1"/>
        <c:ser>
          <c:idx val="0"/>
          <c:order val="0"/>
          <c:spPr>
            <a:solidFill>
              <a:srgbClr val="219EBC"/>
            </a:solidFill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rgbClr val="219EB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5.3366989884248747E-2"/>
                  <c:y val="5.92222621182343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2">
                          <a:lumMod val="2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30491411350484"/>
                      <c:h val="0.26388091267568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bg2">
                          <a:lumMod val="2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69214637633444"/>
                      <c:h val="0.26388091267568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bg2">
                        <a:lumMod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non-current assets</c:v>
                </c:pt>
                <c:pt idx="1">
                  <c:v>Total current assets</c:v>
                </c:pt>
              </c:strCache>
            </c:strRef>
          </c:cat>
          <c:val>
            <c:numRef>
              <c:f>hiddenPage!$I$10:$I$11</c:f>
              <c:numCache>
                <c:formatCode>_-* #,##0_-;\-* #,##0_-;_-* "-"??_-;_-@_-</c:formatCode>
                <c:ptCount val="2"/>
                <c:pt idx="0">
                  <c:v>118936705</c:v>
                </c:pt>
                <c:pt idx="1">
                  <c:v>122197548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hiddenPage!$D$32</c:f>
          <c:strCache>
            <c:ptCount val="1"/>
            <c:pt idx="0">
              <c:v>Evolution of Total current assets in the period 2017-2023</c:v>
            </c:pt>
          </c:strCache>
        </c:strRef>
      </c:tx>
      <c:layout>
        <c:manualLayout>
          <c:xMode val="edge"/>
          <c:yMode val="edge"/>
          <c:x val="7.6433489292099498E-3"/>
          <c:y val="1.3414945378561496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15099735537803E-2"/>
          <c:y val="9.1945114303733588E-2"/>
          <c:w val="0.97184900264462193"/>
          <c:h val="0.796991985186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hiddenPage!$B$41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hiddenPage!$A$42:$A$49</c:f>
              <c:numCache>
                <c:formatCode>General</c:formatCode>
                <c:ptCount val="8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hiddenPage!$B$42:$B$49</c:f>
              <c:numCache>
                <c:formatCode>_-* #,##0\ _l_e_i_-;\-* #,##0\ _l_e_i_-;_-* "-"??\ _l_e_i_-;_-@_-</c:formatCode>
                <c:ptCount val="8"/>
                <c:pt idx="1">
                  <c:v>59667442.590000004</c:v>
                </c:pt>
                <c:pt idx="2">
                  <c:v>82714659.589999989</c:v>
                </c:pt>
                <c:pt idx="3">
                  <c:v>78436250.86999999</c:v>
                </c:pt>
                <c:pt idx="4">
                  <c:v>78436250.86999999</c:v>
                </c:pt>
                <c:pt idx="5">
                  <c:v>105658368</c:v>
                </c:pt>
                <c:pt idx="6">
                  <c:v>122197548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A-4267-ADC1-CDBB0FEC14C9}"/>
            </c:ext>
          </c:extLst>
        </c:ser>
        <c:ser>
          <c:idx val="1"/>
          <c:order val="1"/>
          <c:tx>
            <c:strRef>
              <c:f>hiddenPage!$C$41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219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9-4DB6-879F-83075AEA88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hiddenPage!$A$42:$A$49</c:f>
              <c:numCache>
                <c:formatCode>General</c:formatCode>
                <c:ptCount val="8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hiddenPage!$C$42:$C$49</c:f>
              <c:numCache>
                <c:formatCode>_-* #,##0\ _l_e_i_-;\-* #,##0\ _l_e_i_-;_-* "-"??\ _l_e_i_-;_-@_-</c:formatCode>
                <c:ptCount val="8"/>
                <c:pt idx="7">
                  <c:v>122197548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A-4267-ADC1-CDBB0FEC14C9}"/>
            </c:ext>
          </c:extLst>
        </c:ser>
        <c:ser>
          <c:idx val="2"/>
          <c:order val="2"/>
          <c:tx>
            <c:strRef>
              <c:f>hiddenPage!$D$41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F59F9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8A-4267-ADC1-CDBB0FEC14C9}"/>
                </c:ext>
              </c:extLst>
            </c:dLbl>
            <c:dLbl>
              <c:idx val="4"/>
              <c:layout>
                <c:manualLayout>
                  <c:x val="-7.0852643662024309E-17"/>
                  <c:y val="-2.393775730733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8A-4267-ADC1-CDBB0FEC14C9}"/>
                </c:ext>
              </c:extLst>
            </c:dLbl>
            <c:dLbl>
              <c:idx val="5"/>
              <c:layout>
                <c:manualLayout>
                  <c:x val="-3.8647342995169081E-3"/>
                  <c:y val="-2.87253087687963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hiddenPage!$A$42:$A$49</c:f>
              <c:numCache>
                <c:formatCode>General</c:formatCode>
                <c:ptCount val="8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hiddenPage!$D$42:$D$49</c:f>
              <c:numCache>
                <c:formatCode>_-* #,##0\ _l_e_i_-;\-* #,##0\ _l_e_i_-;_-* "-"??\ _l_e_i_-;_-@_-</c:formatCode>
                <c:ptCount val="8"/>
                <c:pt idx="1">
                  <c:v>0</c:v>
                </c:pt>
                <c:pt idx="2">
                  <c:v>217441.29999999702</c:v>
                </c:pt>
                <c:pt idx="3">
                  <c:v>4278408.7199999988</c:v>
                </c:pt>
                <c:pt idx="4">
                  <c:v>0</c:v>
                </c:pt>
                <c:pt idx="5">
                  <c:v>0</c:v>
                </c:pt>
                <c:pt idx="6">
                  <c:v>24555985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A-4267-ADC1-CDBB0FEC14C9}"/>
            </c:ext>
          </c:extLst>
        </c:ser>
        <c:ser>
          <c:idx val="3"/>
          <c:order val="3"/>
          <c:tx>
            <c:strRef>
              <c:f>hiddenPage!$E$41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C3DEB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1219040955771699E-3"/>
                  <c:y val="2.8427500449539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8A-4267-ADC1-CDBB0FEC14C9}"/>
                </c:ext>
              </c:extLst>
            </c:dLbl>
            <c:dLbl>
              <c:idx val="5"/>
              <c:layout>
                <c:manualLayout>
                  <c:x val="2.7778203188538737E-3"/>
                  <c:y val="-4.58225220745704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hiddenPage!$A$42:$A$49</c:f>
              <c:numCache>
                <c:formatCode>General</c:formatCode>
                <c:ptCount val="8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hiddenPage!$E$42:$E$49</c:f>
              <c:numCache>
                <c:formatCode>_-* #,##0\ _l_e_i_-;\-* #,##0\ _l_e_i_-;_-* "-"??\ _l_e_i_-;_-@_-</c:formatCode>
                <c:ptCount val="8"/>
                <c:pt idx="1">
                  <c:v>23264658.299999982</c:v>
                </c:pt>
                <c:pt idx="2">
                  <c:v>0</c:v>
                </c:pt>
                <c:pt idx="3">
                  <c:v>0</c:v>
                </c:pt>
                <c:pt idx="4">
                  <c:v>27222117.13000001</c:v>
                </c:pt>
                <c:pt idx="5">
                  <c:v>41095165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A-4267-ADC1-CDBB0FEC14C9}"/>
            </c:ext>
          </c:extLst>
        </c:ser>
        <c:ser>
          <c:idx val="4"/>
          <c:order val="4"/>
          <c:tx>
            <c:strRef>
              <c:f>hiddenPage!$F$41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19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68A-4267-ADC1-CDBB0FEC14C9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7.4074074074074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hiddenPage!$A$42:$A$49</c:f>
              <c:numCache>
                <c:formatCode>General</c:formatCode>
                <c:ptCount val="8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hiddenPage!$F$42:$F$49</c:f>
              <c:numCache>
                <c:formatCode>General</c:formatCode>
                <c:ptCount val="8"/>
                <c:pt idx="0" formatCode="_-* #,##0_-;\-* #,##0_-;_-* &quot;-&quot;??_-;_-@_-">
                  <c:v>59667442.590000004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8A-4267-ADC1-CDBB0FEC14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573463936"/>
        <c:axId val="573462624"/>
      </c:barChart>
      <c:catAx>
        <c:axId val="573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73462624"/>
        <c:crosses val="autoZero"/>
        <c:auto val="1"/>
        <c:lblAlgn val="ctr"/>
        <c:lblOffset val="100"/>
        <c:noMultiLvlLbl val="0"/>
      </c:catAx>
      <c:valAx>
        <c:axId val="57346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346393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2.Comprehensive income'!A1"/><Relationship Id="rId7" Type="http://schemas.openxmlformats.org/officeDocument/2006/relationships/hyperlink" Target="#Charts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chart" Target="../charts/chart1.xml"/><Relationship Id="rId5" Type="http://schemas.openxmlformats.org/officeDocument/2006/relationships/hyperlink" Target="#'4.Financial ratios'!A1"/><Relationship Id="rId4" Type="http://schemas.openxmlformats.org/officeDocument/2006/relationships/hyperlink" Target="#'3.Statement of cash flow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ents!H6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Contents!H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hyperlink" Target="#Contents!H6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3386</xdr:colOff>
      <xdr:row>0</xdr:row>
      <xdr:rowOff>152401</xdr:rowOff>
    </xdr:from>
    <xdr:to>
      <xdr:col>19</xdr:col>
      <xdr:colOff>600074</xdr:colOff>
      <xdr:row>5</xdr:row>
      <xdr:rowOff>76201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1595966" y="152401"/>
          <a:ext cx="8452908" cy="845820"/>
        </a:xfrm>
        <a:prstGeom prst="rect">
          <a:avLst/>
        </a:prstGeom>
        <a:solidFill>
          <a:schemeClr val="bg2">
            <a:lumMod val="50000"/>
          </a:schemeClr>
        </a:solidFill>
        <a:ln>
          <a:solidFill>
            <a:srgbClr val="219EBC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20</xdr:col>
      <xdr:colOff>167217</xdr:colOff>
      <xdr:row>9</xdr:row>
      <xdr:rowOff>35984</xdr:rowOff>
    </xdr:from>
    <xdr:to>
      <xdr:col>22</xdr:col>
      <xdr:colOff>430350</xdr:colOff>
      <xdr:row>11</xdr:row>
      <xdr:rowOff>133584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10267950" y="1458384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20</xdr:col>
      <xdr:colOff>167217</xdr:colOff>
      <xdr:row>11</xdr:row>
      <xdr:rowOff>182034</xdr:rowOff>
    </xdr:from>
    <xdr:to>
      <xdr:col>22</xdr:col>
      <xdr:colOff>430350</xdr:colOff>
      <xdr:row>14</xdr:row>
      <xdr:rowOff>234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267950" y="2010834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chemeClr val="bg1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chemeClr val="bg1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20</xdr:col>
      <xdr:colOff>167217</xdr:colOff>
      <xdr:row>14</xdr:row>
      <xdr:rowOff>41276</xdr:rowOff>
    </xdr:from>
    <xdr:to>
      <xdr:col>22</xdr:col>
      <xdr:colOff>430350</xdr:colOff>
      <xdr:row>16</xdr:row>
      <xdr:rowOff>121943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0267950" y="2555876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COMPREHENSIVE</a:t>
          </a:r>
          <a:r>
            <a:rPr lang="en-GB" sz="1050" b="1" baseline="0">
              <a:solidFill>
                <a:schemeClr val="bg1"/>
              </a:solidFill>
              <a:latin typeface="Candara" panose="020E0502030303020204" pitchFamily="34" charset="0"/>
            </a:rPr>
            <a:t> INCOME</a:t>
          </a:r>
          <a:endParaRPr lang="en-GB" sz="1050" b="1">
            <a:solidFill>
              <a:schemeClr val="bg1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20</xdr:col>
      <xdr:colOff>184150</xdr:colOff>
      <xdr:row>19</xdr:row>
      <xdr:rowOff>156632</xdr:rowOff>
    </xdr:from>
    <xdr:to>
      <xdr:col>22</xdr:col>
      <xdr:colOff>447283</xdr:colOff>
      <xdr:row>22</xdr:row>
      <xdr:rowOff>76432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AA3E13-CC9A-487B-AB12-2C4DF279077F}"/>
            </a:ext>
          </a:extLst>
        </xdr:cNvPr>
        <xdr:cNvSpPr/>
      </xdr:nvSpPr>
      <xdr:spPr>
        <a:xfrm>
          <a:off x="10284883" y="3678765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CASH FLOW</a:t>
          </a:r>
        </a:p>
      </xdr:txBody>
    </xdr:sp>
    <xdr:clientData/>
  </xdr:twoCellAnchor>
  <xdr:twoCellAnchor>
    <xdr:from>
      <xdr:col>20</xdr:col>
      <xdr:colOff>184150</xdr:colOff>
      <xdr:row>16</xdr:row>
      <xdr:rowOff>175682</xdr:rowOff>
    </xdr:from>
    <xdr:to>
      <xdr:col>22</xdr:col>
      <xdr:colOff>447283</xdr:colOff>
      <xdr:row>19</xdr:row>
      <xdr:rowOff>95482</xdr:rowOff>
    </xdr:to>
    <xdr:sp macro="" textlink="">
      <xdr:nvSpPr>
        <xdr:cNvPr id="13" name="Rectangle: Rounded Corners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0284883" y="3113615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6</xdr:col>
      <xdr:colOff>239183</xdr:colOff>
      <xdr:row>9</xdr:row>
      <xdr:rowOff>69849</xdr:rowOff>
    </xdr:from>
    <xdr:to>
      <xdr:col>19</xdr:col>
      <xdr:colOff>577849</xdr:colOff>
      <xdr:row>20</xdr:row>
      <xdr:rowOff>101600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184150</xdr:colOff>
      <xdr:row>22</xdr:row>
      <xdr:rowOff>120649</xdr:rowOff>
    </xdr:from>
    <xdr:to>
      <xdr:col>22</xdr:col>
      <xdr:colOff>447283</xdr:colOff>
      <xdr:row>25</xdr:row>
      <xdr:rowOff>175915</xdr:rowOff>
    </xdr:to>
    <xdr:sp macro="" textlink="">
      <xdr:nvSpPr>
        <xdr:cNvPr id="14" name="Rectangle: Rounded Corners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0284883" y="4226982"/>
          <a:ext cx="144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 editAs="oneCell">
    <xdr:from>
      <xdr:col>15</xdr:col>
      <xdr:colOff>496993</xdr:colOff>
      <xdr:row>1</xdr:row>
      <xdr:rowOff>161714</xdr:rowOff>
    </xdr:from>
    <xdr:to>
      <xdr:col>19</xdr:col>
      <xdr:colOff>384810</xdr:colOff>
      <xdr:row>4</xdr:row>
      <xdr:rowOff>107950</xdr:rowOff>
    </xdr:to>
    <xdr:pic>
      <xdr:nvPicPr>
        <xdr:cNvPr id="15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78B9181D-8D8B-4407-ADC6-D0D8743B4E8D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7893" y="344594"/>
          <a:ext cx="2135717" cy="502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169334</xdr:colOff>
      <xdr:row>0</xdr:row>
      <xdr:rowOff>0</xdr:rowOff>
    </xdr:from>
    <xdr:to>
      <xdr:col>20</xdr:col>
      <xdr:colOff>364068</xdr:colOff>
      <xdr:row>19</xdr:row>
      <xdr:rowOff>59266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E483B0-9179-49EF-B9D3-0FE3296AA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201789</xdr:colOff>
      <xdr:row>21</xdr:row>
      <xdr:rowOff>15523</xdr:rowOff>
    </xdr:from>
    <xdr:to>
      <xdr:col>20</xdr:col>
      <xdr:colOff>483729</xdr:colOff>
      <xdr:row>35</xdr:row>
      <xdr:rowOff>94403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EE779C48-0015-4224-B6D7-6831115AF7A8}"/>
            </a:ext>
          </a:extLst>
        </xdr:cNvPr>
        <xdr:cNvGrpSpPr/>
      </xdr:nvGrpSpPr>
      <xdr:grpSpPr>
        <a:xfrm>
          <a:off x="12351456" y="4016023"/>
          <a:ext cx="5136162" cy="2724713"/>
          <a:chOff x="7984067" y="2837603"/>
          <a:chExt cx="5158740" cy="2791037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0CFC66AA-ECD5-4641-9631-31928F1857F0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08ABB87A-AB2E-4069-B8F0-46E5B5829B3C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ln>
            <a:solidFill>
              <a:srgbClr val="219EBC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N$21">
        <xdr:nvSpPr>
          <xdr:cNvPr id="12" name="Oval 11">
            <a:extLst>
              <a:ext uri="{FF2B5EF4-FFF2-40B4-BE49-F238E27FC236}">
                <a16:creationId xmlns:a16="http://schemas.microsoft.com/office/drawing/2014/main" id="{C1133954-1F98-414A-ABAA-644F3722E785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solidFill>
            <a:srgbClr val="219EBC"/>
          </a:solidFill>
          <a:ln>
            <a:solidFill>
              <a:srgbClr val="219EB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53083F85-A33D-42BD-8C5D-B4680AC54B30}" type="TxLink">
              <a:rPr lang="en-US" sz="1100" b="0" i="0" u="none" strike="noStrike">
                <a:solidFill>
                  <a:srgbClr val="000000"/>
                </a:solidFill>
                <a:latin typeface="Candara" panose="020E0502030303020204" pitchFamily="34" charset="0"/>
                <a:cs typeface="Calibri"/>
              </a:rPr>
              <a:pPr algn="ctr"/>
              <a:t>10%</a:t>
            </a:fld>
            <a:endParaRPr lang="ro-RO" sz="1000"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20</xdr:col>
      <xdr:colOff>524934</xdr:colOff>
      <xdr:row>2</xdr:row>
      <xdr:rowOff>25400</xdr:rowOff>
    </xdr:from>
    <xdr:to>
      <xdr:col>22</xdr:col>
      <xdr:colOff>169334</xdr:colOff>
      <xdr:row>3</xdr:row>
      <xdr:rowOff>127000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91620B-61AA-41F0-BF38-9186878CEECF}"/>
            </a:ext>
          </a:extLst>
        </xdr:cNvPr>
        <xdr:cNvSpPr/>
      </xdr:nvSpPr>
      <xdr:spPr>
        <a:xfrm>
          <a:off x="14486467" y="414867"/>
          <a:ext cx="863600" cy="38946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</xdr:colOff>
      <xdr:row>0</xdr:row>
      <xdr:rowOff>167640</xdr:rowOff>
    </xdr:from>
    <xdr:to>
      <xdr:col>14</xdr:col>
      <xdr:colOff>10160</xdr:colOff>
      <xdr:row>2</xdr:row>
      <xdr:rowOff>315171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4F645-39E8-4424-874E-E5F7D1E42A4D}"/>
            </a:ext>
          </a:extLst>
        </xdr:cNvPr>
        <xdr:cNvSpPr/>
      </xdr:nvSpPr>
      <xdr:spPr>
        <a:xfrm>
          <a:off x="12816840" y="167640"/>
          <a:ext cx="863600" cy="513291"/>
        </a:xfrm>
        <a:prstGeom prst="roundRect">
          <a:avLst/>
        </a:prstGeom>
        <a:solidFill>
          <a:srgbClr val="219EBC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14</xdr:col>
      <xdr:colOff>304800</xdr:colOff>
      <xdr:row>3</xdr:row>
      <xdr:rowOff>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4DB67E-E651-41F6-B38A-D15797D0B832}"/>
            </a:ext>
          </a:extLst>
        </xdr:cNvPr>
        <xdr:cNvSpPr/>
      </xdr:nvSpPr>
      <xdr:spPr>
        <a:xfrm>
          <a:off x="11039475" y="190500"/>
          <a:ext cx="847725" cy="428625"/>
        </a:xfrm>
        <a:prstGeom prst="roundRect">
          <a:avLst/>
        </a:prstGeom>
        <a:solidFill>
          <a:srgbClr val="219EBC"/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20</xdr:col>
      <xdr:colOff>287866</xdr:colOff>
      <xdr:row>34</xdr:row>
      <xdr:rowOff>0</xdr:rowOff>
    </xdr:from>
    <xdr:to>
      <xdr:col>28</xdr:col>
      <xdr:colOff>415266</xdr:colOff>
      <xdr:row>46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444FF541-12C2-445C-9EB9-535F79507DC8}"/>
            </a:ext>
          </a:extLst>
        </xdr:cNvPr>
        <xdr:cNvGrpSpPr/>
      </xdr:nvGrpSpPr>
      <xdr:grpSpPr>
        <a:xfrm>
          <a:off x="17425810" y="6321778"/>
          <a:ext cx="5510789" cy="2420055"/>
          <a:chOff x="9457265" y="14964833"/>
          <a:chExt cx="5139267" cy="2743200"/>
        </a:xfrm>
        <a:solidFill>
          <a:srgbClr val="219EBC"/>
        </a:solidFill>
      </xdr:grpSpPr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BE0454A8-6C87-42B1-99C6-5F43BD8B1C46}"/>
              </a:ext>
            </a:extLst>
          </xdr:cNvPr>
          <xdr:cNvGraphicFramePr/>
        </xdr:nvGraphicFramePr>
        <xdr:xfrm>
          <a:off x="9457265" y="14964833"/>
          <a:ext cx="5139267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C3785DF7-B568-406E-97CC-429F5CE4DC3E}"/>
              </a:ext>
            </a:extLst>
          </xdr:cNvPr>
          <xdr:cNvGrpSpPr/>
        </xdr:nvGrpSpPr>
        <xdr:grpSpPr>
          <a:xfrm>
            <a:off x="9854028" y="15283625"/>
            <a:ext cx="4509658" cy="279187"/>
            <a:chOff x="3935828" y="16545158"/>
            <a:chExt cx="4509658" cy="279187"/>
          </a:xfrm>
          <a:grpFill/>
        </xdr:grpSpPr>
        <xdr:cxnSp macro="">
          <xdr:nvCxnSpPr>
            <xdr:cNvPr id="21" name="Straight Arrow Connector 20">
              <a:extLst>
                <a:ext uri="{FF2B5EF4-FFF2-40B4-BE49-F238E27FC236}">
                  <a16:creationId xmlns:a16="http://schemas.microsoft.com/office/drawing/2014/main" id="{CBC48B51-47BC-408E-AA36-A589105DED88}"/>
                </a:ext>
              </a:extLst>
            </xdr:cNvPr>
            <xdr:cNvCxnSpPr/>
          </xdr:nvCxnSpPr>
          <xdr:spPr>
            <a:xfrm flipH="1" flipV="1">
              <a:off x="3935828" y="16690962"/>
              <a:ext cx="1794701" cy="0"/>
            </a:xfrm>
            <a:prstGeom prst="straightConnector1">
              <a:avLst/>
            </a:prstGeom>
            <a:grpFill/>
            <a:ln>
              <a:solidFill>
                <a:srgbClr val="219EBC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Arrow Connector 21">
              <a:extLst>
                <a:ext uri="{FF2B5EF4-FFF2-40B4-BE49-F238E27FC236}">
                  <a16:creationId xmlns:a16="http://schemas.microsoft.com/office/drawing/2014/main" id="{75D3C5C5-90CC-42A7-9C7D-02F7B8918EA0}"/>
                </a:ext>
              </a:extLst>
            </xdr:cNvPr>
            <xdr:cNvCxnSpPr/>
          </xdr:nvCxnSpPr>
          <xdr:spPr>
            <a:xfrm flipV="1">
              <a:off x="6319920" y="16687998"/>
              <a:ext cx="2125566" cy="0"/>
            </a:xfrm>
            <a:prstGeom prst="straightConnector1">
              <a:avLst/>
            </a:prstGeom>
            <a:grpFill/>
            <a:ln>
              <a:solidFill>
                <a:srgbClr val="219EBC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hiddenPage!H77">
          <xdr:nvSpPr>
            <xdr:cNvPr id="23" name="Flowchart: Connector 22">
              <a:extLst>
                <a:ext uri="{FF2B5EF4-FFF2-40B4-BE49-F238E27FC236}">
                  <a16:creationId xmlns:a16="http://schemas.microsoft.com/office/drawing/2014/main" id="{F64BBE14-8446-4BF2-B71D-B286732ABD0F}"/>
                </a:ext>
              </a:extLst>
            </xdr:cNvPr>
            <xdr:cNvSpPr/>
          </xdr:nvSpPr>
          <xdr:spPr>
            <a:xfrm>
              <a:off x="5744638" y="16545158"/>
              <a:ext cx="574648" cy="279187"/>
            </a:xfrm>
            <a:prstGeom prst="flowChartConnector">
              <a:avLst/>
            </a:prstGeom>
            <a:grpFill/>
            <a:ln>
              <a:solidFill>
                <a:srgbClr val="219EBC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BC1866E2-B098-41F6-85EA-0003F5D2A0DD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18%</a:t>
              </a:fld>
              <a:endParaRPr lang="ro-RO" sz="900">
                <a:solidFill>
                  <a:sysClr val="windowText" lastClr="000000"/>
                </a:solidFill>
                <a:latin typeface="Candara" panose="020E0502030303020204" pitchFamily="34" charset="0"/>
              </a:endParaRP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59268</xdr:colOff>
      <xdr:row>0</xdr:row>
      <xdr:rowOff>50799</xdr:rowOff>
    </xdr:from>
    <xdr:to>
      <xdr:col>12</xdr:col>
      <xdr:colOff>922868</xdr:colOff>
      <xdr:row>2</xdr:row>
      <xdr:rowOff>183090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569454-A2B2-4964-9130-9914EBBEC83C}"/>
            </a:ext>
          </a:extLst>
        </xdr:cNvPr>
        <xdr:cNvSpPr/>
      </xdr:nvSpPr>
      <xdr:spPr>
        <a:xfrm>
          <a:off x="11675535" y="50799"/>
          <a:ext cx="863600" cy="513291"/>
        </a:xfrm>
        <a:prstGeom prst="roundRect">
          <a:avLst/>
        </a:prstGeom>
        <a:solidFill>
          <a:srgbClr val="219EBC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70</xdr:row>
      <xdr:rowOff>99060</xdr:rowOff>
    </xdr:from>
    <xdr:to>
      <xdr:col>16</xdr:col>
      <xdr:colOff>1066800</xdr:colOff>
      <xdr:row>89</xdr:row>
      <xdr:rowOff>137160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6D029397-63D1-4DCA-9CEF-EA4C69245425}"/>
            </a:ext>
          </a:extLst>
        </xdr:cNvPr>
        <xdr:cNvGrpSpPr/>
      </xdr:nvGrpSpPr>
      <xdr:grpSpPr>
        <a:xfrm>
          <a:off x="9690100" y="12989560"/>
          <a:ext cx="5638800" cy="3536950"/>
          <a:chOff x="9418320" y="12854940"/>
          <a:chExt cx="5539740" cy="3512820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B7973FEE-62CB-4602-9400-2FC9ED556B58}"/>
              </a:ext>
            </a:extLst>
          </xdr:cNvPr>
          <xdr:cNvGrpSpPr/>
        </xdr:nvGrpSpPr>
        <xdr:grpSpPr>
          <a:xfrm>
            <a:off x="9418320" y="12854940"/>
            <a:ext cx="5539740" cy="3512820"/>
            <a:chOff x="9457265" y="14964833"/>
            <a:chExt cx="5139267" cy="2743200"/>
          </a:xfrm>
        </xdr:grpSpPr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1351101-D358-4F2F-A3F2-215FBDA85509}"/>
                </a:ext>
              </a:extLst>
            </xdr:cNvPr>
            <xdr:cNvGraphicFramePr/>
          </xdr:nvGraphicFramePr>
          <xdr:xfrm>
            <a:off x="9457265" y="14964833"/>
            <a:ext cx="5139267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45BBA3DC-BA92-41F4-AF70-660E0788C660}"/>
                </a:ext>
              </a:extLst>
            </xdr:cNvPr>
            <xdr:cNvGrpSpPr/>
          </xdr:nvGrpSpPr>
          <xdr:grpSpPr>
            <a:xfrm>
              <a:off x="9830014" y="15283625"/>
              <a:ext cx="4557686" cy="279187"/>
              <a:chOff x="3911814" y="16545158"/>
              <a:chExt cx="4557686" cy="279187"/>
            </a:xfrm>
          </xdr:grpSpPr>
          <xdr:cxnSp macro="">
            <xdr:nvCxnSpPr>
              <xdr:cNvPr id="5" name="Straight Arrow Connector 4">
                <a:extLst>
                  <a:ext uri="{FF2B5EF4-FFF2-40B4-BE49-F238E27FC236}">
                    <a16:creationId xmlns:a16="http://schemas.microsoft.com/office/drawing/2014/main" id="{4C197959-2E41-42AE-BAE4-25F8FB74EDF9}"/>
                  </a:ext>
                </a:extLst>
              </xdr:cNvPr>
              <xdr:cNvCxnSpPr/>
            </xdr:nvCxnSpPr>
            <xdr:spPr>
              <a:xfrm flipH="1" flipV="1">
                <a:off x="3911814" y="16671506"/>
                <a:ext cx="1794701" cy="0"/>
              </a:xfrm>
              <a:prstGeom prst="straightConnector1">
                <a:avLst/>
              </a:prstGeom>
              <a:ln>
                <a:solidFill>
                  <a:schemeClr val="accent6">
                    <a:lumMod val="40000"/>
                    <a:lumOff val="60000"/>
                  </a:schemeClr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" name="Straight Arrow Connector 5">
                <a:extLst>
                  <a:ext uri="{FF2B5EF4-FFF2-40B4-BE49-F238E27FC236}">
                    <a16:creationId xmlns:a16="http://schemas.microsoft.com/office/drawing/2014/main" id="{E9F6ED99-9147-4DF9-8396-A3B497FB8C41}"/>
                  </a:ext>
                </a:extLst>
              </xdr:cNvPr>
              <xdr:cNvCxnSpPr/>
            </xdr:nvCxnSpPr>
            <xdr:spPr>
              <a:xfrm flipV="1">
                <a:off x="6343934" y="16668543"/>
                <a:ext cx="2125566" cy="0"/>
              </a:xfrm>
              <a:prstGeom prst="straightConnector1">
                <a:avLst/>
              </a:prstGeom>
              <a:ln>
                <a:solidFill>
                  <a:schemeClr val="accent6">
                    <a:lumMod val="40000"/>
                    <a:lumOff val="60000"/>
                  </a:schemeClr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$H$77">
            <xdr:nvSpPr>
              <xdr:cNvPr id="7" name="Flowchart: Connector 6">
                <a:extLst>
                  <a:ext uri="{FF2B5EF4-FFF2-40B4-BE49-F238E27FC236}">
                    <a16:creationId xmlns:a16="http://schemas.microsoft.com/office/drawing/2014/main" id="{D832D840-2D8D-4C32-A527-A9E410701D3E}"/>
                  </a:ext>
                </a:extLst>
              </xdr:cNvPr>
              <xdr:cNvSpPr/>
            </xdr:nvSpPr>
            <xdr:spPr>
              <a:xfrm>
                <a:off x="5744638" y="16545158"/>
                <a:ext cx="574648" cy="279187"/>
              </a:xfrm>
              <a:prstGeom prst="flowChartConnector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40000"/>
                    <a:lumOff val="6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fld id="{D1CE32C4-A540-4397-A9C0-97C6362A8A81}" type="TxLink">
                  <a:rPr lang="en-US" sz="1100" b="0" i="0" u="none" strike="noStrike">
                    <a:solidFill>
                      <a:srgbClr val="000000"/>
                    </a:solidFill>
                    <a:latin typeface="Candara"/>
                  </a:rPr>
                  <a:pPr algn="ctr"/>
                  <a:t>18%</a:t>
                </a:fld>
                <a:endParaRPr lang="ro-RO" sz="1000">
                  <a:solidFill>
                    <a:sysClr val="windowText" lastClr="000000"/>
                  </a:solidFill>
                  <a:latin typeface="Candara" panose="020E0502030303020204" pitchFamily="34" charset="0"/>
                </a:endParaRPr>
              </a:p>
            </xdr:txBody>
          </xdr:sp>
        </xdr:grp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5EEB5C3C-88B4-4D72-ABF5-14B0FA372769}"/>
              </a:ext>
            </a:extLst>
          </xdr:cNvPr>
          <xdr:cNvGrpSpPr/>
        </xdr:nvGrpSpPr>
        <xdr:grpSpPr>
          <a:xfrm>
            <a:off x="9997440" y="14958060"/>
            <a:ext cx="4427220" cy="1013460"/>
            <a:chOff x="9997440" y="14958060"/>
            <a:chExt cx="4427220" cy="1013460"/>
          </a:xfrm>
        </xdr:grpSpPr>
        <xdr:sp macro="" textlink="$C$78">
          <xdr:nvSpPr>
            <xdr:cNvPr id="8" name="Oval 7">
              <a:extLst>
                <a:ext uri="{FF2B5EF4-FFF2-40B4-BE49-F238E27FC236}">
                  <a16:creationId xmlns:a16="http://schemas.microsoft.com/office/drawing/2014/main" id="{787BC188-D49B-4AA7-87DF-97D3F1CB2FA7}"/>
                </a:ext>
              </a:extLst>
            </xdr:cNvPr>
            <xdr:cNvSpPr/>
          </xdr:nvSpPr>
          <xdr:spPr>
            <a:xfrm>
              <a:off x="9997440" y="15628620"/>
              <a:ext cx="586740" cy="342900"/>
            </a:xfrm>
            <a:prstGeom prst="ellipse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fld id="{5D2812C8-9C9A-4D6B-B995-C614AE7648FB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7%</a:t>
              </a:fld>
              <a:endParaRPr lang="ro-RO" sz="900"/>
            </a:p>
          </xdr:txBody>
        </xdr:sp>
        <xdr:sp macro="" textlink="$E$78">
          <xdr:nvSpPr>
            <xdr:cNvPr id="9" name="Oval 8">
              <a:extLst>
                <a:ext uri="{FF2B5EF4-FFF2-40B4-BE49-F238E27FC236}">
                  <a16:creationId xmlns:a16="http://schemas.microsoft.com/office/drawing/2014/main" id="{48D8579D-EED0-42B2-9C65-52740FF0F0C4}"/>
                </a:ext>
              </a:extLst>
            </xdr:cNvPr>
            <xdr:cNvSpPr/>
          </xdr:nvSpPr>
          <xdr:spPr>
            <a:xfrm>
              <a:off x="11605260" y="15430500"/>
              <a:ext cx="586740" cy="342900"/>
            </a:xfrm>
            <a:prstGeom prst="ellipse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fld id="{C1D78B53-94BE-4A74-BDB5-54535A6A38A8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-25%</a:t>
              </a:fld>
              <a:endParaRPr lang="ro-RO" sz="900"/>
            </a:p>
          </xdr:txBody>
        </xdr:sp>
        <xdr:sp macro="" textlink="$F$78">
          <xdr:nvSpPr>
            <xdr:cNvPr id="10" name="Oval 9">
              <a:extLst>
                <a:ext uri="{FF2B5EF4-FFF2-40B4-BE49-F238E27FC236}">
                  <a16:creationId xmlns:a16="http://schemas.microsoft.com/office/drawing/2014/main" id="{ABE6EB27-07E4-41F9-818A-F978AA117157}"/>
                </a:ext>
              </a:extLst>
            </xdr:cNvPr>
            <xdr:cNvSpPr/>
          </xdr:nvSpPr>
          <xdr:spPr>
            <a:xfrm>
              <a:off x="12336780" y="15262860"/>
              <a:ext cx="586740" cy="342900"/>
            </a:xfrm>
            <a:prstGeom prst="ellipse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fld id="{19DA0796-7760-4D4F-B753-33944154B22A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65%</a:t>
              </a:fld>
              <a:endParaRPr lang="ro-RO" sz="900"/>
            </a:p>
          </xdr:txBody>
        </xdr:sp>
        <xdr:sp macro="" textlink="$D$78">
          <xdr:nvSpPr>
            <xdr:cNvPr id="11" name="Oval 10">
              <a:extLst>
                <a:ext uri="{FF2B5EF4-FFF2-40B4-BE49-F238E27FC236}">
                  <a16:creationId xmlns:a16="http://schemas.microsoft.com/office/drawing/2014/main" id="{19B99F8A-4C2A-4EF1-9D13-18D3C46987BA}"/>
                </a:ext>
              </a:extLst>
            </xdr:cNvPr>
            <xdr:cNvSpPr/>
          </xdr:nvSpPr>
          <xdr:spPr>
            <a:xfrm>
              <a:off x="10782300" y="15529560"/>
              <a:ext cx="586740" cy="342900"/>
            </a:xfrm>
            <a:prstGeom prst="ellipse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fld id="{10CDE3B3-E928-42D2-B628-564998902095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-10%</a:t>
              </a:fld>
              <a:endParaRPr lang="ro-RO" sz="900"/>
            </a:p>
          </xdr:txBody>
        </xdr:sp>
        <xdr:sp macro="" textlink="$H$78">
          <xdr:nvSpPr>
            <xdr:cNvPr id="12" name="Oval 11">
              <a:extLst>
                <a:ext uri="{FF2B5EF4-FFF2-40B4-BE49-F238E27FC236}">
                  <a16:creationId xmlns:a16="http://schemas.microsoft.com/office/drawing/2014/main" id="{5C306E38-CBBD-416D-9898-0C14F64F7E71}"/>
                </a:ext>
              </a:extLst>
            </xdr:cNvPr>
            <xdr:cNvSpPr/>
          </xdr:nvSpPr>
          <xdr:spPr>
            <a:xfrm>
              <a:off x="13837920" y="14958060"/>
              <a:ext cx="586740" cy="342900"/>
            </a:xfrm>
            <a:prstGeom prst="ellipse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7F860210-C84F-4BFB-BE58-A9DBB66E6664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-18%</a:t>
              </a:fld>
              <a:endParaRPr lang="ro-RO" sz="900"/>
            </a:p>
          </xdr:txBody>
        </xdr:sp>
        <xdr:sp macro="" textlink="$G$78">
          <xdr:nvSpPr>
            <xdr:cNvPr id="13" name="Oval 12">
              <a:extLst>
                <a:ext uri="{FF2B5EF4-FFF2-40B4-BE49-F238E27FC236}">
                  <a16:creationId xmlns:a16="http://schemas.microsoft.com/office/drawing/2014/main" id="{56D95B1A-F759-4989-9A99-E2F5BF91CBA4}"/>
                </a:ext>
              </a:extLst>
            </xdr:cNvPr>
            <xdr:cNvSpPr/>
          </xdr:nvSpPr>
          <xdr:spPr>
            <a:xfrm>
              <a:off x="13037820" y="15079980"/>
              <a:ext cx="655320" cy="342900"/>
            </a:xfrm>
            <a:prstGeom prst="ellipse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fld id="{DF744C14-7702-44D0-8556-594CCC3062D6}" type="TxLink">
                <a:rPr lang="en-US" sz="900" b="0" i="0" u="none" strike="noStrike">
                  <a:solidFill>
                    <a:srgbClr val="000000"/>
                  </a:solidFill>
                  <a:latin typeface="Candara"/>
                </a:rPr>
                <a:pPr algn="ctr"/>
                <a:t>22%</a:t>
              </a:fld>
              <a:endParaRPr lang="ro-RO" sz="900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7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34847</xdr:colOff>
      <xdr:row>2</xdr:row>
      <xdr:rowOff>98241</xdr:rowOff>
    </xdr:from>
    <xdr:to>
      <xdr:col>16</xdr:col>
      <xdr:colOff>119230</xdr:colOff>
      <xdr:row>18</xdr:row>
      <xdr:rowOff>4644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16D11D-85A4-457E-9BDB-C75A67B1D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3714</xdr:colOff>
      <xdr:row>2</xdr:row>
      <xdr:rowOff>69695</xdr:rowOff>
    </xdr:from>
    <xdr:to>
      <xdr:col>23</xdr:col>
      <xdr:colOff>313628</xdr:colOff>
      <xdr:row>18</xdr:row>
      <xdr:rowOff>4644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4D9CFA-FC60-46B9-B8B1-3D8486B2D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517777</xdr:colOff>
      <xdr:row>21</xdr:row>
      <xdr:rowOff>81835</xdr:rowOff>
    </xdr:from>
    <xdr:to>
      <xdr:col>23</xdr:col>
      <xdr:colOff>348475</xdr:colOff>
      <xdr:row>36</xdr:row>
      <xdr:rowOff>28866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2D5C9EC-9367-462A-A782-7D2F4E65F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588690</xdr:colOff>
      <xdr:row>21</xdr:row>
      <xdr:rowOff>84215</xdr:rowOff>
    </xdr:from>
    <xdr:to>
      <xdr:col>12</xdr:col>
      <xdr:colOff>267164</xdr:colOff>
      <xdr:row>36</xdr:row>
      <xdr:rowOff>23232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74342</xdr:colOff>
      <xdr:row>2</xdr:row>
      <xdr:rowOff>27877</xdr:rowOff>
    </xdr:from>
    <xdr:to>
      <xdr:col>25</xdr:col>
      <xdr:colOff>315332</xdr:colOff>
      <xdr:row>5</xdr:row>
      <xdr:rowOff>104412</xdr:rowOff>
    </xdr:to>
    <xdr:sp macro="" textlink="">
      <xdr:nvSpPr>
        <xdr:cNvPr id="9" name="Rectangle: Rounded Corner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E3599C0-F662-49BB-BA7F-973FF9145B0F}"/>
            </a:ext>
          </a:extLst>
        </xdr:cNvPr>
        <xdr:cNvSpPr/>
      </xdr:nvSpPr>
      <xdr:spPr>
        <a:xfrm>
          <a:off x="14320025" y="315950"/>
          <a:ext cx="863600" cy="513291"/>
        </a:xfrm>
        <a:prstGeom prst="roundRect">
          <a:avLst/>
        </a:prstGeom>
        <a:solidFill>
          <a:srgbClr val="219EBC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N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122,197,548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237066</xdr:colOff>
      <xdr:row>3</xdr:row>
      <xdr:rowOff>56091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F4E0C-DD91-4541-81D5-AEF5A1B5E51E}"/>
            </a:ext>
          </a:extLst>
        </xdr:cNvPr>
        <xdr:cNvSpPr/>
      </xdr:nvSpPr>
      <xdr:spPr>
        <a:xfrm>
          <a:off x="11853333" y="194733"/>
          <a:ext cx="863600" cy="513291"/>
        </a:xfrm>
        <a:prstGeom prst="roundRect">
          <a:avLst/>
        </a:prstGeom>
        <a:solidFill>
          <a:srgbClr val="219EBC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chemeClr val="bg1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mcarbon.com/EN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19EBC"/>
  </sheetPr>
  <dimension ref="A2:T32"/>
  <sheetViews>
    <sheetView showGridLines="0" tabSelected="1" zoomScale="90" zoomScaleNormal="90" workbookViewId="0">
      <selection activeCell="Y29" sqref="Y29"/>
    </sheetView>
  </sheetViews>
  <sheetFormatPr defaultColWidth="9.08984375" defaultRowHeight="14.5" x14ac:dyDescent="0.35"/>
  <cols>
    <col min="1" max="1" width="0.6328125" style="106" customWidth="1"/>
    <col min="2" max="2" width="4.90625" style="106" customWidth="1"/>
    <col min="3" max="3" width="2.54296875" style="106" customWidth="1"/>
    <col min="4" max="4" width="3" style="106" customWidth="1"/>
    <col min="5" max="5" width="3.54296875" style="106" customWidth="1"/>
    <col min="6" max="6" width="4.90625" style="106" customWidth="1"/>
    <col min="7" max="7" width="3.6328125" style="106" customWidth="1"/>
    <col min="8" max="11" width="11.36328125" style="106" customWidth="1"/>
    <col min="12" max="18" width="9.08984375" style="106"/>
    <col min="19" max="19" width="5.453125" style="106" customWidth="1"/>
    <col min="20" max="21" width="9.08984375" style="106"/>
    <col min="22" max="22" width="8" style="106" customWidth="1"/>
    <col min="23" max="23" width="7.6328125" style="106" customWidth="1"/>
    <col min="24" max="16384" width="9.08984375" style="106"/>
  </cols>
  <sheetData>
    <row r="2" spans="1:20" ht="15" customHeight="1" x14ac:dyDescent="0.35">
      <c r="A2" s="105"/>
      <c r="B2" s="105"/>
      <c r="C2" s="105"/>
      <c r="D2" s="105"/>
      <c r="E2" s="105"/>
      <c r="F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0" x14ac:dyDescent="0.35">
      <c r="B3" s="105"/>
      <c r="C3" s="105"/>
      <c r="D3" s="105"/>
      <c r="E3" s="105"/>
      <c r="F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20" x14ac:dyDescent="0.35">
      <c r="A4" s="105"/>
      <c r="B4" s="105"/>
      <c r="C4" s="105"/>
      <c r="D4" s="105"/>
      <c r="E4" s="105"/>
      <c r="F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20" x14ac:dyDescent="0.35">
      <c r="A5" s="105"/>
      <c r="B5" s="105"/>
      <c r="C5" s="105"/>
      <c r="D5" s="105"/>
      <c r="E5" s="105"/>
      <c r="F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20" ht="9.75" customHeight="1" x14ac:dyDescent="0.35">
      <c r="A6" s="105"/>
      <c r="B6" s="105"/>
      <c r="C6" s="105"/>
      <c r="D6" s="105"/>
      <c r="E6" s="107"/>
      <c r="F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20" ht="6" customHeight="1" x14ac:dyDescent="0.35">
      <c r="A7" s="105"/>
      <c r="B7" s="105"/>
      <c r="C7" s="105"/>
      <c r="D7" s="105"/>
      <c r="E7" s="107"/>
      <c r="F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1:20" ht="16.5" customHeight="1" x14ac:dyDescent="0.35">
      <c r="A8" s="10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</row>
    <row r="9" spans="1:20" ht="21" x14ac:dyDescent="0.5">
      <c r="H9" s="232" t="s">
        <v>247</v>
      </c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1:20" ht="14.25" customHeight="1" x14ac:dyDescent="0.55000000000000004"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</row>
    <row r="11" spans="1:20" ht="18.5" x14ac:dyDescent="0.45">
      <c r="L11" s="109"/>
      <c r="M11" s="109"/>
      <c r="N11" s="109"/>
      <c r="O11" s="109"/>
      <c r="P11" s="110"/>
      <c r="Q11" s="109"/>
      <c r="R11" s="109"/>
      <c r="S11" s="110"/>
      <c r="T11" s="111"/>
    </row>
    <row r="12" spans="1:20" ht="18.5" x14ac:dyDescent="0.45">
      <c r="L12" s="109"/>
      <c r="M12" s="109"/>
      <c r="N12" s="109"/>
      <c r="O12" s="109"/>
      <c r="P12" s="109"/>
      <c r="S12" s="112"/>
      <c r="T12" s="112"/>
    </row>
    <row r="13" spans="1:20" ht="18.5" x14ac:dyDescent="0.45">
      <c r="L13" s="109"/>
      <c r="M13" s="109"/>
      <c r="N13" s="109"/>
      <c r="O13" s="109"/>
      <c r="P13" s="109"/>
      <c r="S13" s="109"/>
      <c r="T13" s="111"/>
    </row>
    <row r="14" spans="1:20" ht="18.5" x14ac:dyDescent="0.45">
      <c r="L14" s="109"/>
      <c r="M14" s="109"/>
      <c r="N14" s="109"/>
      <c r="O14" s="109"/>
      <c r="P14" s="109"/>
      <c r="S14" s="109"/>
      <c r="T14" s="111"/>
    </row>
    <row r="15" spans="1:20" ht="18.5" x14ac:dyDescent="0.45">
      <c r="L15" s="109"/>
      <c r="M15" s="109"/>
      <c r="N15" s="109"/>
      <c r="O15" s="109"/>
      <c r="P15" s="109"/>
      <c r="S15" s="109"/>
      <c r="T15" s="111"/>
    </row>
    <row r="16" spans="1:20" ht="15" customHeight="1" x14ac:dyDescent="0.45">
      <c r="L16" s="109"/>
      <c r="M16" s="109"/>
      <c r="N16" s="109"/>
      <c r="O16" s="109"/>
      <c r="P16" s="109"/>
      <c r="S16" s="109"/>
      <c r="T16" s="111"/>
    </row>
    <row r="17" spans="8:20" ht="15" customHeight="1" x14ac:dyDescent="0.45">
      <c r="L17" s="109"/>
      <c r="M17" s="109"/>
      <c r="N17" s="109"/>
      <c r="O17" s="109"/>
      <c r="P17" s="109"/>
      <c r="S17" s="109"/>
      <c r="T17" s="111"/>
    </row>
    <row r="18" spans="8:20" ht="15" customHeight="1" x14ac:dyDescent="0.45">
      <c r="L18" s="109"/>
      <c r="M18" s="109"/>
      <c r="N18" s="109"/>
      <c r="O18" s="109"/>
      <c r="P18" s="109"/>
      <c r="S18" s="109"/>
      <c r="T18" s="111"/>
    </row>
    <row r="19" spans="8:20" ht="15" customHeight="1" x14ac:dyDescent="0.45">
      <c r="L19" s="109"/>
      <c r="M19" s="109"/>
      <c r="N19" s="109"/>
      <c r="O19" s="109"/>
      <c r="P19" s="109"/>
      <c r="S19" s="109"/>
      <c r="T19" s="111"/>
    </row>
    <row r="20" spans="8:20" ht="15" customHeight="1" x14ac:dyDescent="0.45">
      <c r="L20" s="109"/>
      <c r="M20" s="109"/>
      <c r="N20" s="109"/>
      <c r="O20" s="109"/>
      <c r="P20" s="109"/>
      <c r="Q20" s="109"/>
      <c r="R20" s="109"/>
      <c r="S20" s="110"/>
      <c r="T20" s="111"/>
    </row>
    <row r="21" spans="8:20" ht="15" customHeight="1" x14ac:dyDescent="0.45">
      <c r="L21" s="109"/>
      <c r="M21" s="109"/>
      <c r="N21" s="109"/>
      <c r="O21" s="109"/>
      <c r="P21" s="109"/>
      <c r="Q21" s="109"/>
      <c r="R21" s="109"/>
      <c r="S21" s="110"/>
      <c r="T21" s="111"/>
    </row>
    <row r="22" spans="8:20" ht="15" customHeight="1" x14ac:dyDescent="0.35">
      <c r="H22" s="237" t="s">
        <v>147</v>
      </c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</row>
    <row r="23" spans="8:20" ht="15" customHeight="1" x14ac:dyDescent="0.35">
      <c r="H23" s="235" t="s">
        <v>146</v>
      </c>
      <c r="I23" s="235"/>
      <c r="J23" s="235"/>
      <c r="K23" s="235"/>
      <c r="L23" s="236"/>
      <c r="M23" s="236"/>
      <c r="N23" s="236"/>
      <c r="O23" s="236"/>
      <c r="P23" s="236"/>
      <c r="Q23" s="236"/>
      <c r="R23" s="236"/>
      <c r="S23" s="236"/>
      <c r="T23" s="236"/>
    </row>
    <row r="24" spans="8:20" ht="15" customHeight="1" x14ac:dyDescent="0.35">
      <c r="H24" s="238" t="s">
        <v>160</v>
      </c>
      <c r="I24" s="238"/>
      <c r="J24" s="238"/>
      <c r="K24" s="238"/>
      <c r="L24" s="238"/>
      <c r="M24" s="238"/>
      <c r="N24" s="238"/>
      <c r="O24" s="238"/>
      <c r="P24" s="238"/>
      <c r="Q24" s="238"/>
      <c r="R24" s="114"/>
      <c r="S24" s="114"/>
      <c r="T24" s="114"/>
    </row>
    <row r="25" spans="8:20" ht="4.75" customHeight="1" x14ac:dyDescent="0.35"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8:20" x14ac:dyDescent="0.35">
      <c r="H26" s="234"/>
      <c r="I26" s="234"/>
      <c r="J26" s="234"/>
      <c r="K26" s="234"/>
      <c r="L26" s="234"/>
      <c r="M26" s="234"/>
      <c r="N26" s="234"/>
      <c r="O26" s="115"/>
      <c r="P26" s="116"/>
      <c r="Q26" s="231" t="s">
        <v>154</v>
      </c>
      <c r="R26" s="231"/>
      <c r="S26" s="231"/>
      <c r="T26" s="231"/>
    </row>
    <row r="27" spans="8:20" x14ac:dyDescent="0.35">
      <c r="H27" s="234"/>
      <c r="I27" s="234"/>
      <c r="J27" s="234"/>
      <c r="K27" s="234"/>
      <c r="L27" s="234"/>
      <c r="M27" s="234"/>
      <c r="N27" s="234"/>
      <c r="O27" s="117"/>
      <c r="P27" s="118"/>
      <c r="Q27" s="231" t="s">
        <v>158</v>
      </c>
      <c r="R27" s="231"/>
      <c r="S27" s="231"/>
      <c r="T27" s="231"/>
    </row>
    <row r="28" spans="8:20" x14ac:dyDescent="0.35">
      <c r="H28" s="119"/>
      <c r="I28" s="119"/>
      <c r="J28" s="119"/>
      <c r="K28" s="119"/>
      <c r="L28" s="119"/>
      <c r="M28" s="119"/>
      <c r="N28" s="119"/>
      <c r="O28" s="120"/>
      <c r="P28" s="121"/>
      <c r="Q28" s="122" t="s">
        <v>155</v>
      </c>
      <c r="R28" s="122"/>
      <c r="S28" s="122"/>
      <c r="T28" s="122"/>
    </row>
    <row r="29" spans="8:20" x14ac:dyDescent="0.35">
      <c r="H29" s="119"/>
      <c r="I29" s="119"/>
      <c r="J29" s="119"/>
      <c r="K29" s="119"/>
      <c r="L29" s="119"/>
      <c r="M29" s="119"/>
      <c r="N29" s="119"/>
      <c r="O29" s="120"/>
      <c r="P29" s="121"/>
      <c r="Q29" s="231" t="s">
        <v>156</v>
      </c>
      <c r="R29" s="231"/>
      <c r="S29" s="231"/>
      <c r="T29" s="231"/>
    </row>
    <row r="30" spans="8:20" x14ac:dyDescent="0.35">
      <c r="H30" s="119"/>
      <c r="I30" s="119"/>
      <c r="J30" s="119"/>
      <c r="K30" s="119"/>
      <c r="L30" s="119"/>
      <c r="M30" s="119"/>
      <c r="N30" s="119"/>
      <c r="O30" s="120"/>
      <c r="P30" s="121"/>
      <c r="Q30" s="230" t="s">
        <v>198</v>
      </c>
      <c r="R30" s="230"/>
      <c r="S30" s="230"/>
      <c r="T30" s="230"/>
    </row>
    <row r="31" spans="8:20" x14ac:dyDescent="0.35">
      <c r="H31" s="119"/>
      <c r="I31" s="119"/>
      <c r="J31" s="119"/>
      <c r="K31" s="119"/>
      <c r="L31" s="119"/>
      <c r="M31" s="119"/>
      <c r="N31" s="119"/>
      <c r="O31" s="120"/>
      <c r="P31" s="121"/>
      <c r="Q31" s="230" t="s">
        <v>157</v>
      </c>
      <c r="R31" s="230"/>
      <c r="S31" s="230"/>
      <c r="T31" s="230"/>
    </row>
    <row r="32" spans="8:20" ht="3" customHeight="1" x14ac:dyDescent="0.35"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</sheetData>
  <mergeCells count="12">
    <mergeCell ref="Q30:T30"/>
    <mergeCell ref="Q31:T31"/>
    <mergeCell ref="Q29:T29"/>
    <mergeCell ref="H9:T9"/>
    <mergeCell ref="H10:T10"/>
    <mergeCell ref="Q27:T27"/>
    <mergeCell ref="H26:N26"/>
    <mergeCell ref="H27:N27"/>
    <mergeCell ref="H23:T23"/>
    <mergeCell ref="H22:T22"/>
    <mergeCell ref="Q26:T26"/>
    <mergeCell ref="H24:Q24"/>
  </mergeCells>
  <hyperlinks>
    <hyperlink ref="Q30" r:id="rId1" xr:uid="{71673C88-5463-4161-83CF-CD9CF893B618}"/>
    <hyperlink ref="Q31" r:id="rId2" xr:uid="{82F5B292-7BE3-40E1-A66D-AB909AD3CE02}"/>
    <hyperlink ref="Q30:T30" r:id="rId3" location="shares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4"/>
  <sheetViews>
    <sheetView showGridLines="0" zoomScale="90" zoomScaleNormal="90" workbookViewId="0">
      <selection activeCell="G36" sqref="G36"/>
    </sheetView>
  </sheetViews>
  <sheetFormatPr defaultRowHeight="15" x14ac:dyDescent="0.35"/>
  <cols>
    <col min="1" max="1" width="54.453125" style="53" bestFit="1" customWidth="1"/>
    <col min="2" max="2" width="12.54296875" style="53" customWidth="1"/>
    <col min="3" max="3" width="12.6328125" style="53" customWidth="1"/>
    <col min="4" max="4" width="13.36328125" style="53" customWidth="1"/>
    <col min="5" max="5" width="13" style="53" bestFit="1" customWidth="1"/>
    <col min="6" max="6" width="13" style="53" customWidth="1"/>
    <col min="7" max="7" width="14.90625" style="53" bestFit="1" customWidth="1"/>
    <col min="8" max="8" width="14.7265625" style="53" bestFit="1" customWidth="1"/>
    <col min="9" max="9" width="2.453125" style="80" customWidth="1"/>
    <col min="10" max="10" width="12" style="53" bestFit="1" customWidth="1"/>
    <col min="11" max="11" width="7.7265625" style="53" bestFit="1" customWidth="1"/>
    <col min="12" max="12" width="3" customWidth="1"/>
  </cols>
  <sheetData>
    <row r="2" spans="1:11" ht="15.5" thickBot="1" x14ac:dyDescent="0.4"/>
    <row r="3" spans="1:11" s="104" customFormat="1" ht="22.75" customHeight="1" thickBot="1" x14ac:dyDescent="0.4">
      <c r="A3" s="209" t="s">
        <v>153</v>
      </c>
      <c r="B3" s="210">
        <v>2017</v>
      </c>
      <c r="C3" s="210">
        <f>B3+1</f>
        <v>2018</v>
      </c>
      <c r="D3" s="210">
        <f t="shared" ref="D3:H3" si="0">C3+1</f>
        <v>2019</v>
      </c>
      <c r="E3" s="210">
        <f t="shared" si="0"/>
        <v>2020</v>
      </c>
      <c r="F3" s="210">
        <f t="shared" si="0"/>
        <v>2021</v>
      </c>
      <c r="G3" s="210">
        <f t="shared" si="0"/>
        <v>2022</v>
      </c>
      <c r="H3" s="210">
        <f t="shared" si="0"/>
        <v>2023</v>
      </c>
      <c r="I3" s="239" t="str">
        <f>CONCATENATE(H3," vs. ",G3)</f>
        <v>2023 vs. 2022</v>
      </c>
      <c r="J3" s="239"/>
      <c r="K3" s="239"/>
    </row>
    <row r="4" spans="1:11" ht="14.5" x14ac:dyDescent="0.35">
      <c r="A4" s="211" t="s">
        <v>203</v>
      </c>
      <c r="B4" s="84">
        <f>'2.Comprehensive income'!C4</f>
        <v>195140694.54999998</v>
      </c>
      <c r="C4" s="84">
        <f>'2.Comprehensive income'!D4</f>
        <v>198460718.70000002</v>
      </c>
      <c r="D4" s="84">
        <f>'2.Comprehensive income'!E4</f>
        <v>183857279.62999997</v>
      </c>
      <c r="E4" s="84">
        <f>'2.Comprehensive income'!F4</f>
        <v>181146471.98999998</v>
      </c>
      <c r="F4" s="84">
        <f>'2.Comprehensive income'!G4</f>
        <v>264737647</v>
      </c>
      <c r="G4" s="84">
        <f>'2.Comprehensive income'!H4</f>
        <v>262801054</v>
      </c>
      <c r="H4" s="200">
        <f>'2.Comprehensive income'!I4</f>
        <v>214230854</v>
      </c>
      <c r="I4" s="164" t="str">
        <f>IF(H4+G4&gt;0,IF(H4&gt;G4,"▲",IF(H4=G4,"▬","▼")),IF(H4&gt;G4,"▼",IF(H4=G4,"▬","▲")))</f>
        <v>▼</v>
      </c>
      <c r="J4" s="203">
        <f>H4-G4</f>
        <v>-48570200</v>
      </c>
      <c r="K4" s="204">
        <f>H4/G4-1</f>
        <v>-0.18481737139456067</v>
      </c>
    </row>
    <row r="5" spans="1:11" ht="14.5" x14ac:dyDescent="0.35">
      <c r="A5" s="211" t="s">
        <v>231</v>
      </c>
      <c r="B5" s="84">
        <f>'2.Comprehensive income'!C5</f>
        <v>5090319.22</v>
      </c>
      <c r="C5" s="84">
        <f>'2.Comprehensive income'!D5</f>
        <v>4518855.0299999993</v>
      </c>
      <c r="D5" s="84">
        <f>'2.Comprehensive income'!E5</f>
        <v>4140236.81</v>
      </c>
      <c r="E5" s="84">
        <f>'2.Comprehensive income'!F5</f>
        <v>3967550.28</v>
      </c>
      <c r="F5" s="84">
        <f>'2.Comprehensive income'!G5</f>
        <v>4459406</v>
      </c>
      <c r="G5" s="84">
        <f>'2.Comprehensive income'!H5</f>
        <v>4454249</v>
      </c>
      <c r="H5" s="200">
        <f>'2.Comprehensive income'!I5</f>
        <v>4303986</v>
      </c>
      <c r="I5" s="164" t="str">
        <f t="shared" ref="I5:I15" si="1">IF(H5+G5&gt;0,IF(H5&gt;G5,"▲",IF(H5=G5,"▬","▼")),IF(H5&gt;G5,"▼",IF(H5=G5,"▬","▲")))</f>
        <v>▼</v>
      </c>
      <c r="J5" s="203">
        <f t="shared" ref="J5:J16" si="2">H5-G5</f>
        <v>-150263</v>
      </c>
      <c r="K5" s="204">
        <f t="shared" ref="K5:K18" si="3">H5/G5-1</f>
        <v>-3.3734755286469187E-2</v>
      </c>
    </row>
    <row r="6" spans="1:11" thickBot="1" x14ac:dyDescent="0.4">
      <c r="A6" s="211" t="s">
        <v>75</v>
      </c>
      <c r="B6" s="2">
        <f>'EBIT-EBITDA'!C9</f>
        <v>15768480.169999992</v>
      </c>
      <c r="C6" s="2">
        <f>'EBIT-EBITDA'!D9</f>
        <v>14702840.760000018</v>
      </c>
      <c r="D6" s="2">
        <f>'EBIT-EBITDA'!E9</f>
        <v>10419423.999999983</v>
      </c>
      <c r="E6" s="2">
        <f>'EBIT-EBITDA'!F9</f>
        <v>10207662.439999962</v>
      </c>
      <c r="F6" s="2">
        <f>'EBIT-EBITDA'!G9</f>
        <v>8112816</v>
      </c>
      <c r="G6" s="2">
        <f>'EBIT-EBITDA'!H9</f>
        <v>61072654</v>
      </c>
      <c r="H6" s="200">
        <f>'EBIT-EBITDA'!I9</f>
        <v>12582621</v>
      </c>
      <c r="I6" s="164" t="str">
        <f t="shared" si="1"/>
        <v>▼</v>
      </c>
      <c r="J6" s="203">
        <f t="shared" si="2"/>
        <v>-48490033</v>
      </c>
      <c r="K6" s="204">
        <f t="shared" si="3"/>
        <v>-0.79397291298328054</v>
      </c>
    </row>
    <row r="7" spans="1:11" thickBot="1" x14ac:dyDescent="0.4">
      <c r="A7" s="212" t="s">
        <v>205</v>
      </c>
      <c r="B7" s="85">
        <v>12182514.040000001</v>
      </c>
      <c r="C7" s="85">
        <v>11384242.279999956</v>
      </c>
      <c r="D7" s="85">
        <v>12318776.420000032</v>
      </c>
      <c r="E7" s="85">
        <v>12374753.540000008</v>
      </c>
      <c r="F7" s="85">
        <v>13987047.550000012</v>
      </c>
      <c r="G7" s="85">
        <v>15025300.380000001</v>
      </c>
      <c r="H7" s="201">
        <v>4873275.8999999762</v>
      </c>
      <c r="I7" s="208" t="str">
        <f t="shared" si="1"/>
        <v>▼</v>
      </c>
      <c r="J7" s="205">
        <f t="shared" si="2"/>
        <v>-10152024.480000025</v>
      </c>
      <c r="K7" s="206">
        <f>H7/G7-1</f>
        <v>-0.67566199831274343</v>
      </c>
    </row>
    <row r="8" spans="1:11" thickBot="1" x14ac:dyDescent="0.4">
      <c r="A8" s="211" t="s">
        <v>233</v>
      </c>
      <c r="B8" s="2">
        <f>'2.Comprehensive income'!C12</f>
        <v>7747982.8699999955</v>
      </c>
      <c r="C8" s="2">
        <f>'2.Comprehensive income'!D12</f>
        <v>5088122.8700000178</v>
      </c>
      <c r="D8" s="2">
        <f>'2.Comprehensive income'!E12</f>
        <v>3436523.5099999816</v>
      </c>
      <c r="E8" s="2">
        <f>'2.Comprehensive income'!F12</f>
        <v>3195643.0099999616</v>
      </c>
      <c r="F8" s="2">
        <f>'2.Comprehensive income'!G12</f>
        <v>7560431</v>
      </c>
      <c r="G8" s="2">
        <f>'2.Comprehensive income'!H12</f>
        <v>6621228</v>
      </c>
      <c r="H8" s="200">
        <f>'2.Comprehensive income'!I12</f>
        <v>2133197</v>
      </c>
      <c r="I8" s="208" t="str">
        <f t="shared" ref="I8" si="4">IF(H8+G8&gt;0,IF(H8&gt;G8,"▲",IF(H8=G8,"▬","▼")),IF(H8&gt;G8,"▼",IF(H8=G8,"▬","▲")))</f>
        <v>▼</v>
      </c>
      <c r="J8" s="205">
        <f t="shared" ref="J8" si="5">H8-G8</f>
        <v>-4488031</v>
      </c>
      <c r="K8" s="206">
        <f>H8/G8-1</f>
        <v>-0.6778245666815883</v>
      </c>
    </row>
    <row r="9" spans="1:11" ht="14.5" x14ac:dyDescent="0.35">
      <c r="A9" s="211" t="s">
        <v>149</v>
      </c>
      <c r="B9" s="2">
        <f>'2.Comprehensive income'!C18</f>
        <v>4798065.6499999948</v>
      </c>
      <c r="C9" s="2">
        <f>'2.Comprehensive income'!D18</f>
        <v>4800354.1700000176</v>
      </c>
      <c r="D9" s="2">
        <f>'2.Comprehensive income'!E18</f>
        <v>370097.9599999818</v>
      </c>
      <c r="E9" s="2">
        <f>'2.Comprehensive income'!F18</f>
        <v>869105.43999996176</v>
      </c>
      <c r="F9" s="2">
        <f>'2.Comprehensive income'!G18</f>
        <v>-1447458</v>
      </c>
      <c r="G9" s="2">
        <f>'2.Comprehensive income'!H18</f>
        <v>51471690</v>
      </c>
      <c r="H9" s="200">
        <f>'2.Comprehensive income'!I18</f>
        <v>3313809</v>
      </c>
      <c r="I9" s="164" t="str">
        <f>IF(H9+G9&gt;0,IF(H9&gt;G9,"▲",IF(H9=G9,"▬","▼")),IF(H9&gt;G9,"▼",IF(H9=G9,"▬","▲")))</f>
        <v>▼</v>
      </c>
      <c r="J9" s="203">
        <f t="shared" si="2"/>
        <v>-48157881</v>
      </c>
      <c r="K9" s="204">
        <f t="shared" si="3"/>
        <v>-0.93561880326835978</v>
      </c>
    </row>
    <row r="10" spans="1:11" ht="14.5" x14ac:dyDescent="0.35">
      <c r="A10" s="211" t="s">
        <v>245</v>
      </c>
      <c r="B10" s="2">
        <f>SUM('2.Comprehensive income'!C56:C61)</f>
        <v>1157997.23</v>
      </c>
      <c r="C10" s="2">
        <f>SUM('2.Comprehensive income'!D56:D61)</f>
        <v>1117360</v>
      </c>
      <c r="D10" s="2">
        <f>SUM('2.Comprehensive income'!E56:E61)</f>
        <v>0</v>
      </c>
      <c r="E10" s="2">
        <f>SUM('2.Comprehensive income'!F56:F61)</f>
        <v>0</v>
      </c>
      <c r="F10" s="2">
        <f>SUM('2.Comprehensive income'!G56:G61)</f>
        <v>0</v>
      </c>
      <c r="G10" s="2">
        <f>SUM('2.Comprehensive income'!H56:H61)</f>
        <v>46745700</v>
      </c>
      <c r="H10" s="200">
        <f>SUM('2.Comprehensive income'!I56:I61)</f>
        <v>0</v>
      </c>
      <c r="I10" s="164" t="str">
        <f t="shared" ref="I10:I12" si="6">IF(H10+G10&gt;0,IF(H10&gt;G10,"▲",IF(H10=G10,"▬","▼")),IF(H10&gt;G10,"▼",IF(H10=G10,"▬","▲")))</f>
        <v>▼</v>
      </c>
      <c r="J10" s="203">
        <f t="shared" si="2"/>
        <v>-46745700</v>
      </c>
      <c r="K10" s="204">
        <f t="shared" si="3"/>
        <v>-1</v>
      </c>
    </row>
    <row r="11" spans="1:11" ht="14.5" x14ac:dyDescent="0.35">
      <c r="A11" s="211" t="s">
        <v>250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-989160</v>
      </c>
      <c r="H11" s="200">
        <v>0</v>
      </c>
      <c r="I11" s="164" t="str">
        <f t="shared" si="6"/>
        <v>▼</v>
      </c>
      <c r="J11" s="203">
        <f t="shared" si="2"/>
        <v>989160</v>
      </c>
      <c r="K11" s="204">
        <f t="shared" si="3"/>
        <v>-1</v>
      </c>
    </row>
    <row r="12" spans="1:11" ht="14.5" x14ac:dyDescent="0.35">
      <c r="A12" s="211" t="s">
        <v>244</v>
      </c>
      <c r="B12" s="171">
        <f t="shared" ref="B12:F12" si="7">B9-(B10+B11)</f>
        <v>3640068.4199999948</v>
      </c>
      <c r="C12" s="171">
        <f t="shared" si="7"/>
        <v>3682994.1700000176</v>
      </c>
      <c r="D12" s="171">
        <f t="shared" si="7"/>
        <v>370097.9599999818</v>
      </c>
      <c r="E12" s="171">
        <f t="shared" si="7"/>
        <v>869105.43999996176</v>
      </c>
      <c r="F12" s="171">
        <f t="shared" si="7"/>
        <v>-1447458</v>
      </c>
      <c r="G12" s="171">
        <f>G9-(G10+G11)</f>
        <v>5715150</v>
      </c>
      <c r="H12" s="200">
        <f t="shared" ref="H12" si="8">H9-(H10+H11)</f>
        <v>3313809</v>
      </c>
      <c r="I12" s="161" t="str">
        <f t="shared" si="6"/>
        <v>▼</v>
      </c>
      <c r="J12" s="207">
        <f t="shared" si="2"/>
        <v>-2401341</v>
      </c>
      <c r="K12" s="204">
        <f t="shared" si="3"/>
        <v>-0.42017112411747726</v>
      </c>
    </row>
    <row r="13" spans="1:11" ht="14.5" x14ac:dyDescent="0.35">
      <c r="A13" s="211" t="s">
        <v>150</v>
      </c>
      <c r="B13" s="2">
        <f>'1.FinancialPosition'!B8</f>
        <v>210024646.26000002</v>
      </c>
      <c r="C13" s="2">
        <f>'1.FinancialPosition'!C8</f>
        <v>170408687.35000002</v>
      </c>
      <c r="D13" s="2">
        <f>'1.FinancialPosition'!D8</f>
        <v>163480244.93000001</v>
      </c>
      <c r="E13" s="2">
        <f>'1.FinancialPosition'!E8</f>
        <v>152917930.06</v>
      </c>
      <c r="F13" s="2">
        <f>'1.FinancialPosition'!F8</f>
        <v>138364502</v>
      </c>
      <c r="G13" s="2">
        <f>'1.FinancialPosition'!G8</f>
        <v>133313884</v>
      </c>
      <c r="H13" s="200">
        <f>'1.FinancialPosition'!H8</f>
        <v>118936705</v>
      </c>
      <c r="I13" s="164" t="str">
        <f t="shared" si="1"/>
        <v>▼</v>
      </c>
      <c r="J13" s="203">
        <f t="shared" si="2"/>
        <v>-14377179</v>
      </c>
      <c r="K13" s="204">
        <f t="shared" si="3"/>
        <v>-0.1078445737879784</v>
      </c>
    </row>
    <row r="14" spans="1:11" ht="14.5" x14ac:dyDescent="0.35">
      <c r="A14" s="211" t="s">
        <v>151</v>
      </c>
      <c r="B14" s="2">
        <f>'1.FinancialPosition'!B16</f>
        <v>59667442.590000004</v>
      </c>
      <c r="C14" s="2">
        <f>'1.FinancialPosition'!C16</f>
        <v>82932100.889999986</v>
      </c>
      <c r="D14" s="2">
        <f>'1.FinancialPosition'!D16</f>
        <v>82714659.589999989</v>
      </c>
      <c r="E14" s="2">
        <f>'1.FinancialPosition'!E16</f>
        <v>78436250.86999999</v>
      </c>
      <c r="F14" s="2">
        <f>'1.FinancialPosition'!F16</f>
        <v>105658368</v>
      </c>
      <c r="G14" s="2">
        <f>'1.FinancialPosition'!G16</f>
        <v>146753533</v>
      </c>
      <c r="H14" s="200">
        <f>'1.FinancialPosition'!H16</f>
        <v>122197548</v>
      </c>
      <c r="I14" s="164" t="str">
        <f t="shared" si="1"/>
        <v>▼</v>
      </c>
      <c r="J14" s="203">
        <f t="shared" si="2"/>
        <v>-24555985</v>
      </c>
      <c r="K14" s="204">
        <f t="shared" si="3"/>
        <v>-0.16732806698425451</v>
      </c>
    </row>
    <row r="15" spans="1:11" ht="14.5" x14ac:dyDescent="0.35">
      <c r="A15" s="211" t="s">
        <v>10</v>
      </c>
      <c r="B15" s="2">
        <f>'1.FinancialPosition'!B22</f>
        <v>133121618.8</v>
      </c>
      <c r="C15" s="2">
        <f>'1.FinancialPosition'!C22</f>
        <v>137190294.75999999</v>
      </c>
      <c r="D15" s="2">
        <f>'1.FinancialPosition'!D22</f>
        <v>137054251.80000001</v>
      </c>
      <c r="E15" s="2">
        <f>'1.FinancialPosition'!E22</f>
        <v>138212542.24000001</v>
      </c>
      <c r="F15" s="2">
        <f>'1.FinancialPosition'!F22</f>
        <v>134144881</v>
      </c>
      <c r="G15" s="2">
        <f>'1.FinancialPosition'!G22</f>
        <v>160222957</v>
      </c>
      <c r="H15" s="200">
        <f>'1.FinancialPosition'!H22</f>
        <v>150816142</v>
      </c>
      <c r="I15" s="164" t="str">
        <f t="shared" si="1"/>
        <v>▼</v>
      </c>
      <c r="J15" s="203">
        <f t="shared" si="2"/>
        <v>-9406815</v>
      </c>
      <c r="K15" s="204">
        <f t="shared" si="3"/>
        <v>-5.8710781376978383E-2</v>
      </c>
    </row>
    <row r="16" spans="1:11" ht="14.5" x14ac:dyDescent="0.35">
      <c r="A16" s="211" t="s">
        <v>152</v>
      </c>
      <c r="B16" s="2">
        <f>'1.FinancialPosition'!B32</f>
        <v>136570470.19</v>
      </c>
      <c r="C16" s="2">
        <f>'1.FinancialPosition'!C32</f>
        <v>116150493.48</v>
      </c>
      <c r="D16" s="2">
        <f>'1.FinancialPosition'!D32</f>
        <v>109140652.72000001</v>
      </c>
      <c r="E16" s="2">
        <f>'1.FinancialPosition'!E32</f>
        <v>93141638.680000007</v>
      </c>
      <c r="F16" s="2">
        <f>'1.FinancialPosition'!F32</f>
        <v>109877989</v>
      </c>
      <c r="G16" s="2">
        <f>'1.FinancialPosition'!G32</f>
        <v>119844460.02</v>
      </c>
      <c r="H16" s="200">
        <f>'1.FinancialPosition'!H32</f>
        <v>90318111</v>
      </c>
      <c r="I16" s="164" t="str">
        <f>IF(H16+G16&gt;0,IF(H16&gt;G16,"▲",IF(H16=G16,"▬","▼")),IF(H16&gt;G16,"▼",IF(H16=G16,"▬","▲")))</f>
        <v>▼</v>
      </c>
      <c r="J16" s="203">
        <f t="shared" si="2"/>
        <v>-29526349.019999996</v>
      </c>
      <c r="K16" s="204">
        <f t="shared" si="3"/>
        <v>-0.24637224795432811</v>
      </c>
    </row>
    <row r="17" spans="1:14" ht="14.5" x14ac:dyDescent="0.35">
      <c r="A17" s="211" t="s">
        <v>206</v>
      </c>
      <c r="B17" s="86">
        <f>B16/(B13+B14)</f>
        <v>0.50639405394631021</v>
      </c>
      <c r="C17" s="86">
        <f t="shared" ref="C17:H17" si="9">C16/(C13+C14)</f>
        <v>0.45847529837937478</v>
      </c>
      <c r="D17" s="86">
        <f t="shared" si="9"/>
        <v>0.44330995774583071</v>
      </c>
      <c r="E17" s="86">
        <f t="shared" si="9"/>
        <v>0.40259328059509558</v>
      </c>
      <c r="F17" s="86">
        <f t="shared" si="9"/>
        <v>0.4502774227677922</v>
      </c>
      <c r="G17" s="86">
        <f t="shared" si="9"/>
        <v>0.4279128979148617</v>
      </c>
      <c r="H17" s="202">
        <f t="shared" si="9"/>
        <v>0.37455529389265158</v>
      </c>
      <c r="I17" s="164" t="str">
        <f>IF(H17+G17&gt;0,IF(H17&gt;G17,"▲",IF(H17=G17,"▬","▼")),IF(H17&gt;G17,"▼",IF(H17=G17,"▬","▲")))</f>
        <v>▼</v>
      </c>
      <c r="J17" s="203">
        <f t="shared" ref="J17:J18" si="10">H17-G17</f>
        <v>-5.3357604022210126E-2</v>
      </c>
      <c r="K17" s="204">
        <f t="shared" si="3"/>
        <v>-0.12469267526688632</v>
      </c>
    </row>
    <row r="18" spans="1:14" ht="14.5" x14ac:dyDescent="0.35">
      <c r="A18" s="211" t="s">
        <v>207</v>
      </c>
      <c r="B18" s="86">
        <f>'1.FinancialPosition'!B16/'1.FinancialPosition'!B31</f>
        <v>0.79319678611568922</v>
      </c>
      <c r="C18" s="86">
        <f>'1.FinancialPosition'!C16/'1.FinancialPosition'!C31</f>
        <v>1.1512145385365147</v>
      </c>
      <c r="D18" s="86">
        <f>'1.FinancialPosition'!D16/'1.FinancialPosition'!D31</f>
        <v>1.1039275542547775</v>
      </c>
      <c r="E18" s="86">
        <f>'1.FinancialPosition'!E16/'1.FinancialPosition'!E31</f>
        <v>1.1571444819918941</v>
      </c>
      <c r="F18" s="86">
        <f>'1.FinancialPosition'!F16/'1.FinancialPosition'!F31</f>
        <v>1.18947280717453</v>
      </c>
      <c r="G18" s="86">
        <f>'1.FinancialPosition'!G16/'1.FinancialPosition'!G31</f>
        <v>1.4742601822691708</v>
      </c>
      <c r="H18" s="202">
        <f>'1.FinancialPosition'!H16/'1.FinancialPosition'!H31</f>
        <v>1.7689554765528499</v>
      </c>
      <c r="I18" s="164" t="str">
        <f>IF(H18+G18&gt;0,IF(H18&gt;G18,"▲",IF(H18=G18,"▬","▼")),IF(H18&gt;G18,"▼",IF(H18=G18,"▬","▲")))</f>
        <v>▲</v>
      </c>
      <c r="J18" s="203">
        <f t="shared" si="10"/>
        <v>0.29469529428367913</v>
      </c>
      <c r="K18" s="204">
        <f t="shared" si="3"/>
        <v>0.19989368079526249</v>
      </c>
    </row>
    <row r="19" spans="1:14" ht="14.5" x14ac:dyDescent="0.35">
      <c r="A19" s="24" t="s">
        <v>251</v>
      </c>
      <c r="B19" s="142"/>
      <c r="C19" s="142"/>
      <c r="D19" s="142"/>
      <c r="E19" s="142"/>
      <c r="F19" s="142"/>
      <c r="G19" s="142"/>
      <c r="H19" s="142"/>
      <c r="I19" s="82"/>
    </row>
    <row r="20" spans="1:14" ht="14.5" x14ac:dyDescent="0.35">
      <c r="I20" s="53"/>
    </row>
    <row r="21" spans="1:14" ht="14.5" x14ac:dyDescent="0.35">
      <c r="A21" s="240" t="s">
        <v>208</v>
      </c>
      <c r="B21" s="240"/>
      <c r="C21" s="240"/>
      <c r="D21" s="240"/>
      <c r="E21" s="240"/>
      <c r="F21" s="240"/>
      <c r="G21" s="240"/>
      <c r="H21" s="240"/>
      <c r="I21" s="240"/>
      <c r="L21" s="78"/>
      <c r="N21" s="79">
        <f>H4/B4-1</f>
        <v>9.7827669897467828E-2</v>
      </c>
    </row>
    <row r="22" spans="1:14" ht="14.5" x14ac:dyDescent="0.35">
      <c r="A22" s="240"/>
      <c r="B22" s="240"/>
      <c r="C22" s="240"/>
      <c r="D22" s="240"/>
      <c r="E22" s="240"/>
      <c r="F22" s="240"/>
      <c r="G22" s="240"/>
      <c r="H22" s="240"/>
      <c r="I22" s="240"/>
    </row>
    <row r="23" spans="1:14" ht="14.5" x14ac:dyDescent="0.35">
      <c r="A23" s="240" t="s">
        <v>209</v>
      </c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4" ht="14.5" x14ac:dyDescent="0.35">
      <c r="A24" s="240"/>
      <c r="B24" s="240"/>
      <c r="C24" s="240"/>
      <c r="D24" s="240"/>
      <c r="E24" s="240"/>
      <c r="F24" s="240"/>
      <c r="G24" s="240"/>
      <c r="H24" s="240"/>
      <c r="I24" s="240"/>
      <c r="J24" s="240"/>
    </row>
    <row r="27" spans="1:14" x14ac:dyDescent="0.35">
      <c r="B27" s="124"/>
      <c r="C27" s="124"/>
      <c r="D27" s="124"/>
      <c r="F27" s="69"/>
      <c r="G27" s="69"/>
      <c r="H27" s="69"/>
    </row>
    <row r="28" spans="1:14" x14ac:dyDescent="0.35">
      <c r="B28" s="172"/>
      <c r="C28" s="172"/>
      <c r="D28" s="172"/>
      <c r="F28" s="69"/>
      <c r="G28" s="69"/>
      <c r="H28" s="69"/>
    </row>
    <row r="29" spans="1:14" x14ac:dyDescent="0.35">
      <c r="B29" s="172"/>
      <c r="C29" s="172"/>
      <c r="D29" s="172"/>
      <c r="F29" s="69"/>
      <c r="G29" s="69"/>
      <c r="H29" s="69"/>
    </row>
    <row r="30" spans="1:14" x14ac:dyDescent="0.35">
      <c r="B30" s="172"/>
      <c r="C30" s="172"/>
      <c r="D30" s="172"/>
      <c r="F30" s="69"/>
      <c r="G30" s="69"/>
      <c r="H30" s="69"/>
    </row>
    <row r="31" spans="1:14" x14ac:dyDescent="0.35">
      <c r="B31" s="172"/>
      <c r="C31" s="172"/>
      <c r="D31" s="172"/>
      <c r="F31" s="69"/>
      <c r="G31" s="69"/>
      <c r="H31" s="69"/>
    </row>
    <row r="32" spans="1:14" x14ac:dyDescent="0.35">
      <c r="B32" s="172"/>
      <c r="C32" s="172"/>
      <c r="D32" s="172"/>
      <c r="F32" s="69"/>
      <c r="G32" s="69"/>
      <c r="H32" s="69"/>
    </row>
    <row r="33" spans="2:8" x14ac:dyDescent="0.35">
      <c r="B33" s="172"/>
      <c r="C33" s="172"/>
      <c r="D33" s="172"/>
      <c r="F33" s="69"/>
      <c r="G33" s="69"/>
      <c r="H33" s="69"/>
    </row>
    <row r="34" spans="2:8" x14ac:dyDescent="0.35">
      <c r="B34" s="172"/>
      <c r="C34" s="172"/>
      <c r="D34" s="172"/>
      <c r="F34" s="69"/>
      <c r="G34" s="69"/>
      <c r="H34" s="69"/>
    </row>
    <row r="35" spans="2:8" x14ac:dyDescent="0.35">
      <c r="B35" s="172"/>
      <c r="C35" s="172"/>
      <c r="D35" s="172"/>
      <c r="F35" s="69"/>
      <c r="G35" s="69"/>
      <c r="H35" s="69"/>
    </row>
    <row r="36" spans="2:8" x14ac:dyDescent="0.35">
      <c r="B36" s="172"/>
      <c r="C36" s="172"/>
      <c r="D36" s="172"/>
      <c r="F36" s="69"/>
      <c r="G36" s="69"/>
      <c r="H36" s="69"/>
    </row>
    <row r="37" spans="2:8" x14ac:dyDescent="0.35">
      <c r="B37" s="172"/>
      <c r="C37" s="172"/>
      <c r="D37" s="172"/>
      <c r="F37" s="69"/>
      <c r="G37" s="69"/>
      <c r="H37" s="69"/>
    </row>
    <row r="38" spans="2:8" x14ac:dyDescent="0.35">
      <c r="B38" s="172"/>
      <c r="C38" s="172"/>
      <c r="D38" s="172"/>
      <c r="F38" s="69"/>
      <c r="G38" s="69"/>
      <c r="H38" s="69"/>
    </row>
    <row r="39" spans="2:8" x14ac:dyDescent="0.35">
      <c r="B39" s="172"/>
      <c r="C39" s="172"/>
      <c r="D39" s="172"/>
      <c r="F39" s="69"/>
      <c r="G39" s="69"/>
      <c r="H39" s="69"/>
    </row>
    <row r="40" spans="2:8" x14ac:dyDescent="0.35">
      <c r="B40" s="172"/>
      <c r="C40" s="172"/>
      <c r="D40" s="172"/>
      <c r="F40" s="82"/>
      <c r="G40" s="82"/>
      <c r="H40" s="82"/>
    </row>
    <row r="41" spans="2:8" x14ac:dyDescent="0.35">
      <c r="B41" s="172"/>
      <c r="C41" s="172"/>
      <c r="D41" s="172"/>
      <c r="F41" s="82"/>
      <c r="G41" s="82"/>
      <c r="H41" s="82"/>
    </row>
    <row r="46" spans="2:8" x14ac:dyDescent="0.35">
      <c r="B46" s="124"/>
      <c r="C46" s="124"/>
      <c r="D46" s="124"/>
      <c r="E46" s="124"/>
      <c r="F46" s="124"/>
      <c r="G46" s="124"/>
      <c r="H46" s="124"/>
    </row>
    <row r="47" spans="2:8" x14ac:dyDescent="0.35">
      <c r="B47" s="124"/>
      <c r="C47" s="124"/>
      <c r="D47" s="124"/>
      <c r="E47" s="124"/>
      <c r="F47" s="124"/>
      <c r="G47" s="124"/>
      <c r="H47" s="124"/>
    </row>
    <row r="48" spans="2:8" x14ac:dyDescent="0.35">
      <c r="B48" s="124"/>
      <c r="C48" s="124"/>
      <c r="D48" s="124"/>
      <c r="E48" s="124"/>
      <c r="F48" s="124"/>
      <c r="G48" s="124"/>
      <c r="H48" s="124"/>
    </row>
    <row r="49" spans="2:8" x14ac:dyDescent="0.35">
      <c r="B49" s="124"/>
      <c r="C49" s="124"/>
      <c r="D49" s="124"/>
      <c r="E49" s="124"/>
      <c r="F49" s="124"/>
      <c r="G49" s="124"/>
      <c r="H49" s="124"/>
    </row>
    <row r="50" spans="2:8" x14ac:dyDescent="0.35">
      <c r="B50" s="124"/>
      <c r="C50" s="124"/>
      <c r="D50" s="124"/>
      <c r="E50" s="124"/>
      <c r="F50" s="124"/>
      <c r="G50" s="124"/>
      <c r="H50" s="124"/>
    </row>
    <row r="51" spans="2:8" x14ac:dyDescent="0.35">
      <c r="B51" s="124"/>
      <c r="C51" s="124"/>
      <c r="D51" s="124"/>
      <c r="E51" s="124"/>
      <c r="F51" s="124"/>
      <c r="G51" s="124"/>
      <c r="H51" s="124"/>
    </row>
    <row r="52" spans="2:8" x14ac:dyDescent="0.35">
      <c r="B52" s="124"/>
      <c r="C52" s="124"/>
      <c r="D52" s="124"/>
      <c r="E52" s="124"/>
      <c r="F52" s="124"/>
      <c r="G52" s="124"/>
      <c r="H52" s="124"/>
    </row>
    <row r="53" spans="2:8" x14ac:dyDescent="0.35">
      <c r="B53" s="124"/>
      <c r="C53" s="124"/>
      <c r="D53" s="124"/>
      <c r="E53" s="124"/>
      <c r="F53" s="124"/>
      <c r="G53" s="124"/>
      <c r="H53" s="124"/>
    </row>
    <row r="54" spans="2:8" x14ac:dyDescent="0.35">
      <c r="B54" s="124"/>
      <c r="C54" s="124"/>
      <c r="D54" s="124"/>
      <c r="E54" s="124"/>
      <c r="F54" s="124"/>
      <c r="G54" s="124"/>
      <c r="H54" s="124"/>
    </row>
    <row r="55" spans="2:8" x14ac:dyDescent="0.35">
      <c r="B55" s="124"/>
      <c r="C55" s="124"/>
      <c r="D55" s="124"/>
      <c r="E55" s="124"/>
      <c r="F55" s="124"/>
      <c r="G55" s="124"/>
      <c r="H55" s="124"/>
    </row>
    <row r="56" spans="2:8" x14ac:dyDescent="0.35">
      <c r="B56" s="124"/>
      <c r="C56" s="124"/>
      <c r="D56" s="124"/>
      <c r="E56" s="124"/>
      <c r="F56" s="124"/>
      <c r="G56" s="124"/>
      <c r="H56" s="124"/>
    </row>
    <row r="57" spans="2:8" x14ac:dyDescent="0.35">
      <c r="B57" s="124"/>
      <c r="C57" s="124"/>
      <c r="D57" s="124"/>
      <c r="E57" s="124"/>
      <c r="F57" s="124"/>
      <c r="G57" s="124"/>
      <c r="H57" s="124"/>
    </row>
    <row r="58" spans="2:8" x14ac:dyDescent="0.35">
      <c r="B58" s="124"/>
      <c r="C58" s="124"/>
      <c r="D58" s="124"/>
      <c r="E58" s="124"/>
      <c r="F58" s="124"/>
      <c r="G58" s="124"/>
      <c r="H58" s="124"/>
    </row>
    <row r="59" spans="2:8" x14ac:dyDescent="0.35">
      <c r="B59" s="124"/>
      <c r="C59" s="124"/>
      <c r="D59" s="124"/>
      <c r="E59" s="124"/>
      <c r="F59" s="124"/>
      <c r="G59" s="124"/>
      <c r="H59" s="124"/>
    </row>
    <row r="60" spans="2:8" x14ac:dyDescent="0.35">
      <c r="B60" s="124"/>
      <c r="C60" s="124"/>
      <c r="D60" s="124"/>
      <c r="E60" s="124"/>
      <c r="F60" s="124"/>
      <c r="G60" s="124"/>
      <c r="H60" s="124"/>
    </row>
    <row r="61" spans="2:8" x14ac:dyDescent="0.35">
      <c r="B61" s="124"/>
      <c r="C61" s="124"/>
      <c r="D61" s="124"/>
      <c r="E61" s="124"/>
      <c r="F61" s="124"/>
      <c r="G61" s="124"/>
      <c r="H61" s="124"/>
    </row>
    <row r="62" spans="2:8" x14ac:dyDescent="0.35">
      <c r="B62" s="124"/>
      <c r="C62" s="124"/>
      <c r="D62" s="124"/>
      <c r="E62" s="124"/>
      <c r="F62" s="124"/>
      <c r="G62" s="124"/>
      <c r="H62" s="124"/>
    </row>
    <row r="63" spans="2:8" x14ac:dyDescent="0.35">
      <c r="B63" s="124"/>
      <c r="C63" s="124"/>
      <c r="D63" s="124"/>
      <c r="E63" s="124"/>
      <c r="F63" s="124"/>
      <c r="G63" s="124"/>
      <c r="H63" s="124"/>
    </row>
    <row r="64" spans="2:8" x14ac:dyDescent="0.35">
      <c r="B64" s="124"/>
      <c r="C64" s="124"/>
      <c r="D64" s="124"/>
      <c r="E64" s="124"/>
      <c r="F64" s="124"/>
      <c r="G64" s="124"/>
      <c r="H64" s="124"/>
    </row>
  </sheetData>
  <mergeCells count="3">
    <mergeCell ref="I3:K3"/>
    <mergeCell ref="A21:I22"/>
    <mergeCell ref="A23:J24"/>
  </mergeCells>
  <conditionalFormatting sqref="I4:I15">
    <cfRule type="expression" dxfId="36" priority="2">
      <formula>H4&lt;G4</formula>
    </cfRule>
    <cfRule type="expression" dxfId="35" priority="3">
      <formula>H4&gt;G4</formula>
    </cfRule>
  </conditionalFormatting>
  <conditionalFormatting sqref="I4:I18">
    <cfRule type="expression" dxfId="34" priority="1">
      <formula>H4=G4</formula>
    </cfRule>
  </conditionalFormatting>
  <conditionalFormatting sqref="I16:I17">
    <cfRule type="expression" dxfId="33" priority="57">
      <formula>H16&gt;G16</formula>
    </cfRule>
    <cfRule type="expression" dxfId="32" priority="58">
      <formula>H1&lt;G16</formula>
    </cfRule>
  </conditionalFormatting>
  <conditionalFormatting sqref="I18">
    <cfRule type="expression" dxfId="31" priority="11">
      <formula>H18&lt;G18</formula>
    </cfRule>
    <cfRule type="expression" dxfId="30" priority="12">
      <formula>H18&gt;G18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53"/>
  <sheetViews>
    <sheetView showGridLines="0" zoomScaleNormal="10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N28" sqref="N28"/>
    </sheetView>
  </sheetViews>
  <sheetFormatPr defaultColWidth="9.08984375" defaultRowHeight="14.5" x14ac:dyDescent="0.35"/>
  <cols>
    <col min="1" max="1" width="55.6328125" style="1" customWidth="1"/>
    <col min="2" max="2" width="12.453125" style="1" bestFit="1" customWidth="1"/>
    <col min="3" max="3" width="12.54296875" style="1" bestFit="1" customWidth="1"/>
    <col min="4" max="4" width="13.36328125" style="1" bestFit="1" customWidth="1"/>
    <col min="5" max="8" width="12.54296875" style="1" bestFit="1" customWidth="1"/>
    <col min="9" max="9" width="7.6328125" style="1" bestFit="1" customWidth="1"/>
    <col min="10" max="10" width="11" style="1" bestFit="1" customWidth="1"/>
    <col min="11" max="11" width="3" style="1" bestFit="1" customWidth="1"/>
    <col min="12" max="12" width="10.36328125" style="1" bestFit="1" customWidth="1"/>
    <col min="13" max="13" width="9.08984375" style="1"/>
    <col min="14" max="14" width="13.6328125" style="1" bestFit="1" customWidth="1"/>
    <col min="15" max="15" width="11.1796875" style="1" bestFit="1" customWidth="1"/>
    <col min="16" max="16" width="12.81640625" style="1" bestFit="1" customWidth="1"/>
    <col min="17" max="17" width="13.08984375" style="1" bestFit="1" customWidth="1"/>
    <col min="18" max="18" width="12.08984375" style="1" bestFit="1" customWidth="1"/>
    <col min="19" max="16384" width="9.08984375" style="1"/>
  </cols>
  <sheetData>
    <row r="2" spans="1:18" x14ac:dyDescent="0.35">
      <c r="H2" s="53"/>
    </row>
    <row r="3" spans="1:18" ht="28" x14ac:dyDescent="0.35">
      <c r="A3" s="97" t="s">
        <v>0</v>
      </c>
      <c r="B3" s="98">
        <v>2017</v>
      </c>
      <c r="C3" s="98">
        <f>B3+1</f>
        <v>2018</v>
      </c>
      <c r="D3" s="98">
        <f t="shared" ref="D3:H3" si="0">C3+1</f>
        <v>2019</v>
      </c>
      <c r="E3" s="98">
        <f t="shared" si="0"/>
        <v>2020</v>
      </c>
      <c r="F3" s="98">
        <f t="shared" si="0"/>
        <v>2021</v>
      </c>
      <c r="G3" s="98">
        <f t="shared" si="0"/>
        <v>2022</v>
      </c>
      <c r="H3" s="98">
        <f t="shared" si="0"/>
        <v>2023</v>
      </c>
      <c r="I3" s="99" t="s">
        <v>248</v>
      </c>
      <c r="J3" s="241" t="str">
        <f>CONCATENATE(H3," vs. ",G3)</f>
        <v>2023 vs. 2022</v>
      </c>
      <c r="K3" s="241"/>
      <c r="L3" s="241"/>
      <c r="Q3" s="53"/>
    </row>
    <row r="4" spans="1:18" x14ac:dyDescent="0.35">
      <c r="A4" s="2" t="s">
        <v>1</v>
      </c>
      <c r="B4" s="12">
        <v>137757934.98000002</v>
      </c>
      <c r="C4" s="12">
        <v>130049722.92</v>
      </c>
      <c r="D4" s="12">
        <v>122648083.71000001</v>
      </c>
      <c r="E4" s="12">
        <v>113644666.37</v>
      </c>
      <c r="F4" s="12">
        <v>106567874</v>
      </c>
      <c r="G4" s="12">
        <v>102490667</v>
      </c>
      <c r="H4" s="12">
        <v>106808714</v>
      </c>
      <c r="I4" s="57">
        <f>H4/$H$17</f>
        <v>0.44294293602493712</v>
      </c>
      <c r="J4" s="58">
        <f>H4-G4</f>
        <v>4318047</v>
      </c>
      <c r="K4" s="57" t="str">
        <f>IF(H4&gt;G4,"▲",IF(H4=G4,"▬","▼"))</f>
        <v>▲</v>
      </c>
      <c r="L4" s="57">
        <f>H4/G4-100%</f>
        <v>4.2131123997856346E-2</v>
      </c>
      <c r="O4" s="33"/>
      <c r="P4" s="73"/>
      <c r="Q4" s="73"/>
      <c r="R4" s="73"/>
    </row>
    <row r="5" spans="1:18" x14ac:dyDescent="0.35">
      <c r="A5" s="3" t="s">
        <v>2</v>
      </c>
      <c r="B5" s="15">
        <v>49859449.159999996</v>
      </c>
      <c r="C5" s="15">
        <v>18033514.940000001</v>
      </c>
      <c r="D5" s="15">
        <v>13432444</v>
      </c>
      <c r="E5" s="15">
        <v>11885345.9</v>
      </c>
      <c r="F5" s="15">
        <v>10894586</v>
      </c>
      <c r="G5" s="15">
        <v>9883738</v>
      </c>
      <c r="H5" s="15">
        <v>10857912</v>
      </c>
      <c r="I5" s="57">
        <f t="shared" ref="I5:I33" si="1">H5/$H$17</f>
        <v>4.502849290349472E-2</v>
      </c>
      <c r="J5" s="58">
        <f t="shared" ref="J5:J33" si="2">H5-G5</f>
        <v>974174</v>
      </c>
      <c r="K5" s="57" t="str">
        <f t="shared" ref="K5:K33" si="3">IF(H5&gt;G5,"▲",IF(H5=G5,"▬","▼"))</f>
        <v>▲</v>
      </c>
      <c r="L5" s="57">
        <f t="shared" ref="L5:L33" si="4">H5/G5-100%</f>
        <v>9.8563316834177517E-2</v>
      </c>
      <c r="O5" s="33"/>
      <c r="P5" s="73"/>
      <c r="Q5" s="73"/>
      <c r="R5" s="73"/>
    </row>
    <row r="6" spans="1:18" x14ac:dyDescent="0.35">
      <c r="A6" s="2" t="s">
        <v>216</v>
      </c>
      <c r="B6" s="12">
        <v>160081.2200000002</v>
      </c>
      <c r="C6" s="12">
        <v>78268.589999999967</v>
      </c>
      <c r="D6" s="12">
        <v>314136.3200000003</v>
      </c>
      <c r="E6" s="12">
        <v>302737.3899999999</v>
      </c>
      <c r="F6" s="12">
        <v>294483</v>
      </c>
      <c r="G6" s="12">
        <v>330920</v>
      </c>
      <c r="H6" s="12">
        <v>809485</v>
      </c>
      <c r="I6" s="57">
        <f t="shared" si="1"/>
        <v>3.3569888554986836E-3</v>
      </c>
      <c r="J6" s="58">
        <f t="shared" si="2"/>
        <v>478565</v>
      </c>
      <c r="K6" s="57" t="str">
        <f t="shared" si="3"/>
        <v>▲</v>
      </c>
      <c r="L6" s="57">
        <f t="shared" si="4"/>
        <v>1.446165236310891</v>
      </c>
      <c r="O6" s="33"/>
      <c r="P6" s="73"/>
      <c r="Q6" s="73"/>
      <c r="R6" s="73"/>
    </row>
    <row r="7" spans="1:18" x14ac:dyDescent="0.35">
      <c r="A7" s="2" t="s">
        <v>217</v>
      </c>
      <c r="B7" s="12">
        <v>22247180.900000002</v>
      </c>
      <c r="C7" s="12">
        <v>22247180.900000002</v>
      </c>
      <c r="D7" s="12">
        <v>27085580.900000002</v>
      </c>
      <c r="E7" s="12">
        <v>27085181.400000002</v>
      </c>
      <c r="F7" s="12">
        <v>20607559</v>
      </c>
      <c r="G7" s="12">
        <v>20608559</v>
      </c>
      <c r="H7" s="12">
        <v>460594</v>
      </c>
      <c r="I7" s="57">
        <f t="shared" si="1"/>
        <v>1.9101143627239055E-3</v>
      </c>
      <c r="J7" s="58">
        <f t="shared" si="2"/>
        <v>-20147965</v>
      </c>
      <c r="K7" s="57" t="str">
        <f t="shared" si="3"/>
        <v>▼</v>
      </c>
      <c r="L7" s="57">
        <f t="shared" si="4"/>
        <v>-0.97765035391363364</v>
      </c>
      <c r="O7" s="33"/>
      <c r="P7" s="73"/>
      <c r="Q7" s="73"/>
      <c r="R7" s="73"/>
    </row>
    <row r="8" spans="1:18" x14ac:dyDescent="0.35">
      <c r="A8" s="100" t="s">
        <v>3</v>
      </c>
      <c r="B8" s="126">
        <f>SUM(B4:B7)</f>
        <v>210024646.26000002</v>
      </c>
      <c r="C8" s="126">
        <f>SUM(C4:C7)</f>
        <v>170408687.35000002</v>
      </c>
      <c r="D8" s="126">
        <f>SUM(D4:D7)</f>
        <v>163480244.93000001</v>
      </c>
      <c r="E8" s="126">
        <f>SUM(E4:E7)-1</f>
        <v>152917930.06</v>
      </c>
      <c r="F8" s="126">
        <f>SUM(F4:F7)</f>
        <v>138364502</v>
      </c>
      <c r="G8" s="126">
        <f>SUM(G4:G7)</f>
        <v>133313884</v>
      </c>
      <c r="H8" s="126">
        <f>SUM(H4:H7)</f>
        <v>118936705</v>
      </c>
      <c r="I8" s="102">
        <f t="shared" si="1"/>
        <v>0.49323853214665442</v>
      </c>
      <c r="J8" s="101">
        <f t="shared" si="2"/>
        <v>-14377179</v>
      </c>
      <c r="K8" s="103" t="str">
        <f t="shared" si="3"/>
        <v>▼</v>
      </c>
      <c r="L8" s="102">
        <f t="shared" si="4"/>
        <v>-0.1078445737879784</v>
      </c>
      <c r="O8" s="33"/>
      <c r="P8" s="73"/>
      <c r="Q8" s="73"/>
      <c r="R8" s="73"/>
    </row>
    <row r="9" spans="1:18" x14ac:dyDescent="0.35">
      <c r="A9" s="2" t="s">
        <v>218</v>
      </c>
      <c r="B9" s="12">
        <v>23824914.340000004</v>
      </c>
      <c r="C9" s="12">
        <v>20695919.009999998</v>
      </c>
      <c r="D9" s="12">
        <v>25346354.789999992</v>
      </c>
      <c r="E9" s="12">
        <v>22285772.819999997</v>
      </c>
      <c r="F9" s="12">
        <v>27647514</v>
      </c>
      <c r="G9" s="12">
        <v>29963708</v>
      </c>
      <c r="H9" s="12">
        <v>30951095</v>
      </c>
      <c r="I9" s="57">
        <f t="shared" si="1"/>
        <v>0.1283562771150559</v>
      </c>
      <c r="J9" s="58">
        <f t="shared" si="2"/>
        <v>987387</v>
      </c>
      <c r="K9" s="57" t="str">
        <f t="shared" si="3"/>
        <v>▲</v>
      </c>
      <c r="L9" s="57">
        <f t="shared" si="4"/>
        <v>3.2952764057105455E-2</v>
      </c>
      <c r="O9" s="33"/>
      <c r="P9" s="73"/>
      <c r="Q9" s="73"/>
      <c r="R9" s="73"/>
    </row>
    <row r="10" spans="1:18" x14ac:dyDescent="0.35">
      <c r="A10" s="2" t="s">
        <v>219</v>
      </c>
      <c r="B10" s="12">
        <v>32493265.919999998</v>
      </c>
      <c r="C10" s="12">
        <v>35722416.399999999</v>
      </c>
      <c r="D10" s="12">
        <v>45865813.140000001</v>
      </c>
      <c r="E10" s="12">
        <v>36839898.379999995</v>
      </c>
      <c r="F10" s="12">
        <v>57999727</v>
      </c>
      <c r="G10" s="12">
        <v>63653763</v>
      </c>
      <c r="H10" s="12">
        <v>55388563</v>
      </c>
      <c r="I10" s="57">
        <f t="shared" si="1"/>
        <v>0.22970010403291813</v>
      </c>
      <c r="J10" s="58">
        <f t="shared" si="2"/>
        <v>-8265200</v>
      </c>
      <c r="K10" s="57" t="str">
        <f t="shared" si="3"/>
        <v>▼</v>
      </c>
      <c r="L10" s="57">
        <f t="shared" si="4"/>
        <v>-0.12984621191994572</v>
      </c>
      <c r="O10" s="33"/>
      <c r="P10" s="73"/>
      <c r="Q10" s="73"/>
      <c r="R10" s="73"/>
    </row>
    <row r="11" spans="1:18" x14ac:dyDescent="0.35">
      <c r="A11" s="2" t="s">
        <v>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57">
        <f t="shared" si="1"/>
        <v>0</v>
      </c>
      <c r="J11" s="58">
        <f t="shared" si="2"/>
        <v>0</v>
      </c>
      <c r="K11" s="57" t="str">
        <f t="shared" si="3"/>
        <v>▬</v>
      </c>
      <c r="L11" s="57" t="e">
        <f t="shared" si="4"/>
        <v>#DIV/0!</v>
      </c>
      <c r="O11" s="33"/>
      <c r="P11" s="73"/>
      <c r="Q11" s="73"/>
      <c r="R11" s="73"/>
    </row>
    <row r="12" spans="1:18" x14ac:dyDescent="0.35">
      <c r="A12" s="4" t="s">
        <v>220</v>
      </c>
      <c r="B12" s="158">
        <v>0</v>
      </c>
      <c r="C12" s="158">
        <v>6174451.7800000003</v>
      </c>
      <c r="D12" s="158">
        <v>335912.13</v>
      </c>
      <c r="E12" s="158">
        <v>570774.49</v>
      </c>
      <c r="F12" s="158">
        <v>1265317</v>
      </c>
      <c r="G12" s="158">
        <v>42738851</v>
      </c>
      <c r="H12" s="158">
        <v>5929217</v>
      </c>
      <c r="I12" s="57">
        <f t="shared" si="1"/>
        <v>2.4588862537086344E-2</v>
      </c>
      <c r="J12" s="58">
        <f t="shared" si="2"/>
        <v>-36809634</v>
      </c>
      <c r="K12" s="57" t="str">
        <f t="shared" si="3"/>
        <v>▼</v>
      </c>
      <c r="L12" s="57">
        <f t="shared" si="4"/>
        <v>-0.86126868501916443</v>
      </c>
      <c r="O12" s="33"/>
      <c r="P12" s="73"/>
      <c r="Q12" s="73"/>
      <c r="R12" s="73"/>
    </row>
    <row r="13" spans="1:18" x14ac:dyDescent="0.35">
      <c r="A13" s="2" t="s">
        <v>221</v>
      </c>
      <c r="B13" s="12">
        <v>820244.87</v>
      </c>
      <c r="C13" s="12">
        <v>1007912.76</v>
      </c>
      <c r="D13" s="12">
        <v>1249969.46</v>
      </c>
      <c r="E13" s="12">
        <v>1080363.21</v>
      </c>
      <c r="F13" s="12">
        <v>2187278</v>
      </c>
      <c r="G13" s="12">
        <v>3864347</v>
      </c>
      <c r="H13" s="12">
        <v>546176</v>
      </c>
      <c r="I13" s="57">
        <f t="shared" si="1"/>
        <v>2.2650286850785981E-3</v>
      </c>
      <c r="J13" s="58">
        <f t="shared" si="2"/>
        <v>-3318171</v>
      </c>
      <c r="K13" s="57" t="str">
        <f t="shared" si="3"/>
        <v>▼</v>
      </c>
      <c r="L13" s="57"/>
      <c r="O13" s="33"/>
      <c r="P13" s="73"/>
      <c r="Q13" s="73"/>
      <c r="R13" s="73"/>
    </row>
    <row r="14" spans="1:18" x14ac:dyDescent="0.35">
      <c r="A14" s="2" t="s">
        <v>222</v>
      </c>
      <c r="B14" s="12">
        <v>2529017.4600000004</v>
      </c>
      <c r="C14" s="12">
        <v>3331010.5100000002</v>
      </c>
      <c r="D14" s="12">
        <v>5549445.1199999992</v>
      </c>
      <c r="E14" s="12">
        <v>17588598.129999999</v>
      </c>
      <c r="F14" s="12">
        <v>12798377</v>
      </c>
      <c r="G14" s="12">
        <v>2772709</v>
      </c>
      <c r="H14" s="12">
        <v>29382497</v>
      </c>
      <c r="I14" s="57">
        <f t="shared" si="1"/>
        <v>0.12185119548320661</v>
      </c>
      <c r="J14" s="58">
        <f t="shared" si="2"/>
        <v>26609788</v>
      </c>
      <c r="K14" s="57" t="str">
        <f t="shared" si="3"/>
        <v>▲</v>
      </c>
      <c r="L14" s="57">
        <f t="shared" si="4"/>
        <v>9.5970359673517844</v>
      </c>
      <c r="O14" s="33"/>
      <c r="P14" s="73"/>
      <c r="Q14" s="73"/>
      <c r="R14" s="73"/>
    </row>
    <row r="15" spans="1:18" x14ac:dyDescent="0.35">
      <c r="A15" s="2" t="s">
        <v>223</v>
      </c>
      <c r="B15" s="12">
        <v>0</v>
      </c>
      <c r="C15" s="12">
        <v>16000390.43</v>
      </c>
      <c r="D15" s="12">
        <v>4367165.95</v>
      </c>
      <c r="E15" s="12">
        <v>70844.84</v>
      </c>
      <c r="F15" s="12">
        <v>3760155</v>
      </c>
      <c r="G15" s="12">
        <v>3760155</v>
      </c>
      <c r="H15" s="12">
        <v>0</v>
      </c>
      <c r="I15" s="57">
        <f t="shared" si="1"/>
        <v>0</v>
      </c>
      <c r="J15" s="58">
        <f t="shared" si="2"/>
        <v>-3760155</v>
      </c>
      <c r="K15" s="57" t="str">
        <f t="shared" si="3"/>
        <v>▼</v>
      </c>
      <c r="L15" s="57">
        <f t="shared" si="4"/>
        <v>-1</v>
      </c>
      <c r="O15" s="33"/>
      <c r="P15" s="73"/>
      <c r="Q15" s="73"/>
      <c r="R15" s="73"/>
    </row>
    <row r="16" spans="1:18" x14ac:dyDescent="0.35">
      <c r="A16" s="100" t="s">
        <v>5</v>
      </c>
      <c r="B16" s="126">
        <f>SUM(B9:B15)</f>
        <v>59667442.590000004</v>
      </c>
      <c r="C16" s="126">
        <f>SUM(C9:C15)</f>
        <v>82932100.889999986</v>
      </c>
      <c r="D16" s="126">
        <f>SUM(D9:D15)-1</f>
        <v>82714659.589999989</v>
      </c>
      <c r="E16" s="126">
        <f>SUM(E9:E15)-1</f>
        <v>78436250.86999999</v>
      </c>
      <c r="F16" s="126">
        <f>SUM(F9:F15)</f>
        <v>105658368</v>
      </c>
      <c r="G16" s="126">
        <f>SUM(G9:G15)</f>
        <v>146753533</v>
      </c>
      <c r="H16" s="126">
        <f>SUM(H9:H15)</f>
        <v>122197548</v>
      </c>
      <c r="I16" s="102">
        <f t="shared" si="1"/>
        <v>0.50676146785334553</v>
      </c>
      <c r="J16" s="101">
        <f t="shared" si="2"/>
        <v>-24555985</v>
      </c>
      <c r="K16" s="103" t="str">
        <f t="shared" si="3"/>
        <v>▼</v>
      </c>
      <c r="L16" s="102">
        <f t="shared" si="4"/>
        <v>-0.16732806698425451</v>
      </c>
      <c r="O16" s="33"/>
      <c r="P16" s="73"/>
      <c r="Q16" s="73"/>
      <c r="R16" s="73"/>
    </row>
    <row r="17" spans="1:18" x14ac:dyDescent="0.35">
      <c r="A17" s="100" t="s">
        <v>6</v>
      </c>
      <c r="B17" s="126">
        <f t="shared" ref="B17:H17" si="5">B16+B8</f>
        <v>269692088.85000002</v>
      </c>
      <c r="C17" s="126">
        <f t="shared" si="5"/>
        <v>253340788.24000001</v>
      </c>
      <c r="D17" s="126">
        <f t="shared" si="5"/>
        <v>246194904.51999998</v>
      </c>
      <c r="E17" s="126">
        <f t="shared" si="5"/>
        <v>231354180.93000001</v>
      </c>
      <c r="F17" s="126">
        <f t="shared" si="5"/>
        <v>244022870</v>
      </c>
      <c r="G17" s="126">
        <f t="shared" si="5"/>
        <v>280067417</v>
      </c>
      <c r="H17" s="126">
        <f t="shared" si="5"/>
        <v>241134253</v>
      </c>
      <c r="I17" s="102">
        <f t="shared" si="1"/>
        <v>1</v>
      </c>
      <c r="J17" s="101">
        <f t="shared" si="2"/>
        <v>-38933164</v>
      </c>
      <c r="K17" s="103" t="str">
        <f t="shared" si="3"/>
        <v>▼</v>
      </c>
      <c r="L17" s="102">
        <f t="shared" si="4"/>
        <v>-0.13901354329982629</v>
      </c>
      <c r="O17" s="33"/>
      <c r="P17" s="73"/>
      <c r="Q17" s="73"/>
      <c r="R17" s="73"/>
    </row>
    <row r="18" spans="1:18" x14ac:dyDescent="0.35">
      <c r="A18" s="2" t="s">
        <v>7</v>
      </c>
      <c r="B18" s="12">
        <v>26412209.600000001</v>
      </c>
      <c r="C18" s="12">
        <v>26412209.600000001</v>
      </c>
      <c r="D18" s="12">
        <v>26412209.600000001</v>
      </c>
      <c r="E18" s="12">
        <v>26412209.600000001</v>
      </c>
      <c r="F18" s="12">
        <v>26412210</v>
      </c>
      <c r="G18" s="12">
        <v>26412210</v>
      </c>
      <c r="H18" s="12">
        <v>52824419</v>
      </c>
      <c r="I18" s="57">
        <f t="shared" si="1"/>
        <v>0.2190664260377807</v>
      </c>
      <c r="J18" s="58">
        <f t="shared" si="2"/>
        <v>26412209</v>
      </c>
      <c r="K18" s="57" t="str">
        <f t="shared" si="3"/>
        <v>▲</v>
      </c>
      <c r="L18" s="57">
        <f t="shared" si="4"/>
        <v>0.999999962138723</v>
      </c>
      <c r="O18" s="33"/>
      <c r="P18" s="73"/>
      <c r="Q18" s="73"/>
      <c r="R18" s="73"/>
    </row>
    <row r="19" spans="1:18" x14ac:dyDescent="0.35">
      <c r="A19" s="2" t="s">
        <v>8</v>
      </c>
      <c r="B19" s="12">
        <v>2182283.29</v>
      </c>
      <c r="C19" s="12">
        <v>2182283.29</v>
      </c>
      <c r="D19" s="12">
        <v>2182283.29</v>
      </c>
      <c r="E19" s="12">
        <v>2182283.29</v>
      </c>
      <c r="F19" s="12">
        <v>2182283</v>
      </c>
      <c r="G19" s="12">
        <v>2182283</v>
      </c>
      <c r="H19" s="12">
        <v>2182283</v>
      </c>
      <c r="I19" s="57">
        <f t="shared" si="1"/>
        <v>9.0500746901353742E-3</v>
      </c>
      <c r="J19" s="58">
        <f t="shared" si="2"/>
        <v>0</v>
      </c>
      <c r="K19" s="57" t="str">
        <f t="shared" si="3"/>
        <v>▬</v>
      </c>
      <c r="L19" s="57">
        <f t="shared" si="4"/>
        <v>0</v>
      </c>
      <c r="O19" s="33"/>
      <c r="P19" s="73"/>
      <c r="Q19" s="73"/>
      <c r="R19" s="73"/>
    </row>
    <row r="20" spans="1:18" x14ac:dyDescent="0.35">
      <c r="A20" s="2" t="s">
        <v>224</v>
      </c>
      <c r="B20" s="12">
        <v>53222860.280000001</v>
      </c>
      <c r="C20" s="12">
        <v>58492791.739999995</v>
      </c>
      <c r="D20" s="12">
        <v>58845304.939999998</v>
      </c>
      <c r="E20" s="12">
        <v>59466596.82</v>
      </c>
      <c r="F20" s="12">
        <v>58542209</v>
      </c>
      <c r="G20" s="12">
        <v>60895474.780000001</v>
      </c>
      <c r="H20" s="12">
        <v>63215703</v>
      </c>
      <c r="I20" s="57">
        <f t="shared" si="1"/>
        <v>0.26215978117385091</v>
      </c>
      <c r="J20" s="58">
        <f t="shared" si="2"/>
        <v>2320228.2199999988</v>
      </c>
      <c r="K20" s="57" t="str">
        <f t="shared" si="3"/>
        <v>▲</v>
      </c>
      <c r="L20" s="57">
        <f t="shared" si="4"/>
        <v>3.8101816734041449E-2</v>
      </c>
      <c r="O20" s="33"/>
      <c r="P20" s="73"/>
      <c r="Q20" s="73"/>
      <c r="R20" s="73"/>
    </row>
    <row r="21" spans="1:18" x14ac:dyDescent="0.35">
      <c r="A21" s="2" t="s">
        <v>9</v>
      </c>
      <c r="B21" s="12">
        <v>51304265.629999995</v>
      </c>
      <c r="C21" s="12">
        <v>50103010.130000003</v>
      </c>
      <c r="D21" s="12">
        <v>49614453.969999999</v>
      </c>
      <c r="E21" s="12">
        <v>50151452.529999994</v>
      </c>
      <c r="F21" s="12">
        <v>47008179</v>
      </c>
      <c r="G21" s="12">
        <v>70732989.219999999</v>
      </c>
      <c r="H21" s="12">
        <v>32593737</v>
      </c>
      <c r="I21" s="57">
        <f t="shared" si="1"/>
        <v>0.13516842420558145</v>
      </c>
      <c r="J21" s="58">
        <f t="shared" si="2"/>
        <v>-38139252.219999999</v>
      </c>
      <c r="K21" s="57" t="str">
        <f t="shared" si="3"/>
        <v>▼</v>
      </c>
      <c r="L21" s="57">
        <f t="shared" si="4"/>
        <v>-0.53920034541981421</v>
      </c>
      <c r="O21" s="33"/>
      <c r="P21" s="73"/>
      <c r="Q21" s="73"/>
      <c r="R21" s="73"/>
    </row>
    <row r="22" spans="1:18" x14ac:dyDescent="0.35">
      <c r="A22" s="100" t="s">
        <v>10</v>
      </c>
      <c r="B22" s="126">
        <f t="shared" ref="B22:H22" si="6">SUM(B18:B21)</f>
        <v>133121618.8</v>
      </c>
      <c r="C22" s="126">
        <f t="shared" si="6"/>
        <v>137190294.75999999</v>
      </c>
      <c r="D22" s="126">
        <f t="shared" si="6"/>
        <v>137054251.80000001</v>
      </c>
      <c r="E22" s="126">
        <f t="shared" si="6"/>
        <v>138212542.24000001</v>
      </c>
      <c r="F22" s="126">
        <f t="shared" si="6"/>
        <v>134144881</v>
      </c>
      <c r="G22" s="126">
        <f t="shared" si="6"/>
        <v>160222957</v>
      </c>
      <c r="H22" s="126">
        <f t="shared" si="6"/>
        <v>150816142</v>
      </c>
      <c r="I22" s="102">
        <f t="shared" si="1"/>
        <v>0.62544470610734837</v>
      </c>
      <c r="J22" s="101">
        <f t="shared" si="2"/>
        <v>-9406815</v>
      </c>
      <c r="K22" s="103" t="str">
        <f t="shared" si="3"/>
        <v>▼</v>
      </c>
      <c r="L22" s="102">
        <f t="shared" si="4"/>
        <v>-5.8710781376978383E-2</v>
      </c>
      <c r="O22" s="33"/>
      <c r="P22" s="73"/>
      <c r="Q22" s="73"/>
      <c r="R22" s="73"/>
    </row>
    <row r="23" spans="1:18" x14ac:dyDescent="0.35">
      <c r="A23" s="2" t="s">
        <v>225</v>
      </c>
      <c r="B23" s="12">
        <v>0</v>
      </c>
      <c r="C23" s="12">
        <v>0</v>
      </c>
      <c r="D23" s="12">
        <v>0</v>
      </c>
      <c r="E23" s="12">
        <v>200000</v>
      </c>
      <c r="F23" s="12">
        <v>400000</v>
      </c>
      <c r="G23" s="12">
        <v>1000000</v>
      </c>
      <c r="H23" s="12">
        <v>1117000</v>
      </c>
      <c r="I23" s="57">
        <f t="shared" si="1"/>
        <v>4.6322742874692294E-3</v>
      </c>
      <c r="J23" s="58">
        <f t="shared" si="2"/>
        <v>117000</v>
      </c>
      <c r="K23" s="57" t="str">
        <f t="shared" si="3"/>
        <v>▲</v>
      </c>
      <c r="L23" s="57">
        <f t="shared" si="4"/>
        <v>0.11699999999999999</v>
      </c>
      <c r="O23" s="33"/>
      <c r="P23" s="73"/>
      <c r="Q23" s="73"/>
      <c r="R23" s="73"/>
    </row>
    <row r="24" spans="1:18" x14ac:dyDescent="0.35">
      <c r="A24" s="2" t="s">
        <v>13</v>
      </c>
      <c r="B24" s="12">
        <v>10758395</v>
      </c>
      <c r="C24" s="12">
        <v>8902075</v>
      </c>
      <c r="D24" s="12">
        <v>8368626</v>
      </c>
      <c r="E24" s="12">
        <v>7857468</v>
      </c>
      <c r="F24" s="12">
        <v>8012574</v>
      </c>
      <c r="G24" s="12">
        <v>7780659</v>
      </c>
      <c r="H24" s="12">
        <v>7477700</v>
      </c>
      <c r="I24" s="57">
        <f t="shared" si="1"/>
        <v>3.1010525908154576E-2</v>
      </c>
      <c r="J24" s="58">
        <f t="shared" si="2"/>
        <v>-302959</v>
      </c>
      <c r="K24" s="57" t="str">
        <f t="shared" si="3"/>
        <v>▼</v>
      </c>
      <c r="L24" s="57"/>
      <c r="O24" s="33"/>
      <c r="P24" s="73"/>
      <c r="Q24" s="73"/>
      <c r="R24" s="73"/>
    </row>
    <row r="25" spans="1:18" x14ac:dyDescent="0.35">
      <c r="A25" s="2" t="s">
        <v>226</v>
      </c>
      <c r="B25" s="12">
        <v>32911592</v>
      </c>
      <c r="C25" s="12">
        <v>19796325.030000001</v>
      </c>
      <c r="D25" s="12">
        <v>12705852</v>
      </c>
      <c r="E25" s="12">
        <v>6420472.3300000001</v>
      </c>
      <c r="F25" s="12">
        <v>4017590</v>
      </c>
      <c r="G25" s="12">
        <v>4044764</v>
      </c>
      <c r="H25" s="12">
        <v>7283273</v>
      </c>
      <c r="I25" s="57">
        <f t="shared" si="1"/>
        <v>3.0204224034484226E-2</v>
      </c>
      <c r="J25" s="58">
        <f t="shared" si="2"/>
        <v>3238509</v>
      </c>
      <c r="K25" s="57" t="str">
        <f t="shared" si="3"/>
        <v>▲</v>
      </c>
      <c r="L25" s="57">
        <f t="shared" si="4"/>
        <v>0.80066698576233364</v>
      </c>
      <c r="O25" s="33"/>
      <c r="P25" s="73"/>
      <c r="Q25" s="73"/>
      <c r="R25" s="73"/>
    </row>
    <row r="26" spans="1:18" x14ac:dyDescent="0.35">
      <c r="A26" s="2" t="s">
        <v>227</v>
      </c>
      <c r="B26" s="12">
        <v>17676473.670000002</v>
      </c>
      <c r="C26" s="12">
        <v>15413304.75</v>
      </c>
      <c r="D26" s="12">
        <v>13138558.98</v>
      </c>
      <c r="E26" s="12">
        <v>10879379.199999999</v>
      </c>
      <c r="F26" s="12">
        <v>8619928</v>
      </c>
      <c r="G26" s="12">
        <v>7475188</v>
      </c>
      <c r="H26" s="12">
        <v>5361210</v>
      </c>
      <c r="I26" s="57">
        <f t="shared" si="1"/>
        <v>2.223329922356572E-2</v>
      </c>
      <c r="J26" s="58">
        <f t="shared" si="2"/>
        <v>-2113978</v>
      </c>
      <c r="K26" s="57" t="str">
        <f t="shared" si="3"/>
        <v>▼</v>
      </c>
      <c r="L26" s="57">
        <f t="shared" si="4"/>
        <v>-0.28279930886019189</v>
      </c>
      <c r="O26" s="33"/>
      <c r="P26" s="73"/>
      <c r="Q26" s="73"/>
      <c r="R26" s="73"/>
    </row>
    <row r="27" spans="1:18" x14ac:dyDescent="0.35">
      <c r="A27" s="100" t="s">
        <v>14</v>
      </c>
      <c r="B27" s="126">
        <f t="shared" ref="B27:H27" si="7">SUM(B23:B26)</f>
        <v>61346460.670000002</v>
      </c>
      <c r="C27" s="126">
        <f t="shared" si="7"/>
        <v>44111704.780000001</v>
      </c>
      <c r="D27" s="126">
        <f t="shared" si="7"/>
        <v>34213036.980000004</v>
      </c>
      <c r="E27" s="126">
        <f t="shared" si="7"/>
        <v>25357319.530000001</v>
      </c>
      <c r="F27" s="126">
        <f t="shared" si="7"/>
        <v>21050092</v>
      </c>
      <c r="G27" s="126">
        <f t="shared" si="7"/>
        <v>20300611</v>
      </c>
      <c r="H27" s="126">
        <f t="shared" si="7"/>
        <v>21239183</v>
      </c>
      <c r="I27" s="102">
        <f t="shared" si="1"/>
        <v>8.8080323453673753E-2</v>
      </c>
      <c r="J27" s="101">
        <f t="shared" si="2"/>
        <v>938572</v>
      </c>
      <c r="K27" s="103" t="str">
        <f t="shared" si="3"/>
        <v>▲</v>
      </c>
      <c r="L27" s="102">
        <f t="shared" si="4"/>
        <v>4.6233682326113135E-2</v>
      </c>
      <c r="O27" s="33"/>
      <c r="P27" s="73"/>
      <c r="Q27" s="73"/>
      <c r="R27" s="73"/>
    </row>
    <row r="28" spans="1:18" x14ac:dyDescent="0.35">
      <c r="A28" s="2" t="s">
        <v>15</v>
      </c>
      <c r="B28" s="12">
        <v>28571443.069999997</v>
      </c>
      <c r="C28" s="12">
        <v>24537065.359999999</v>
      </c>
      <c r="D28" s="12">
        <v>23643048.73</v>
      </c>
      <c r="E28" s="12">
        <v>26129532.000000004</v>
      </c>
      <c r="F28" s="12">
        <v>37161910</v>
      </c>
      <c r="G28" s="12">
        <v>48060900</v>
      </c>
      <c r="H28" s="12">
        <v>24772724</v>
      </c>
      <c r="I28" s="57">
        <f t="shared" si="1"/>
        <v>0.10273415614661763</v>
      </c>
      <c r="J28" s="58">
        <f t="shared" si="2"/>
        <v>-23288176</v>
      </c>
      <c r="K28" s="57" t="str">
        <f t="shared" si="3"/>
        <v>▼</v>
      </c>
      <c r="L28" s="57">
        <f t="shared" si="4"/>
        <v>-0.48455555347486212</v>
      </c>
      <c r="O28" s="33"/>
      <c r="P28" s="73"/>
      <c r="Q28" s="73"/>
      <c r="R28" s="73"/>
    </row>
    <row r="29" spans="1:18" x14ac:dyDescent="0.35">
      <c r="A29" s="4" t="s">
        <v>228</v>
      </c>
      <c r="B29" s="158">
        <v>41813458.390000001</v>
      </c>
      <c r="C29" s="158">
        <v>42806170.880000003</v>
      </c>
      <c r="D29" s="158">
        <v>46071939.200000003</v>
      </c>
      <c r="E29" s="158">
        <v>37277228.120000005</v>
      </c>
      <c r="F29" s="158">
        <v>46860194</v>
      </c>
      <c r="G29" s="158">
        <f>45859692-0.49</f>
        <v>45859691.509999998</v>
      </c>
      <c r="H29" s="158">
        <v>38178595</v>
      </c>
      <c r="I29" s="57">
        <f t="shared" si="1"/>
        <v>0.15832920675935658</v>
      </c>
      <c r="J29" s="58">
        <f t="shared" si="2"/>
        <v>-7681096.5099999979</v>
      </c>
      <c r="K29" s="57" t="str">
        <f t="shared" si="3"/>
        <v>▼</v>
      </c>
      <c r="L29" s="57">
        <f t="shared" si="4"/>
        <v>-0.16749123810231226</v>
      </c>
      <c r="O29" s="33"/>
      <c r="P29" s="73"/>
      <c r="Q29" s="73"/>
      <c r="R29" s="73"/>
    </row>
    <row r="30" spans="1:18" x14ac:dyDescent="0.35">
      <c r="A30" s="2" t="s">
        <v>229</v>
      </c>
      <c r="B30" s="12">
        <v>4839108.0600000005</v>
      </c>
      <c r="C30" s="12">
        <v>4695552.46</v>
      </c>
      <c r="D30" s="12">
        <v>5212627.8099999996</v>
      </c>
      <c r="E30" s="12">
        <v>4377559.0299999993</v>
      </c>
      <c r="F30" s="12">
        <v>4805793</v>
      </c>
      <c r="G30" s="12">
        <f>5623258-0.49</f>
        <v>5623257.5099999998</v>
      </c>
      <c r="H30" s="12">
        <v>6127609</v>
      </c>
      <c r="I30" s="57">
        <f t="shared" si="1"/>
        <v>2.5411607533003616E-2</v>
      </c>
      <c r="J30" s="58">
        <f t="shared" si="2"/>
        <v>504351.49000000022</v>
      </c>
      <c r="K30" s="57" t="str">
        <f t="shared" si="3"/>
        <v>▲</v>
      </c>
      <c r="L30" s="57">
        <f t="shared" si="4"/>
        <v>8.9690271004501776E-2</v>
      </c>
      <c r="O30" s="33"/>
      <c r="P30" s="73"/>
      <c r="Q30" s="73"/>
      <c r="R30" s="73"/>
    </row>
    <row r="31" spans="1:18" x14ac:dyDescent="0.35">
      <c r="A31" s="100" t="s">
        <v>18</v>
      </c>
      <c r="B31" s="126">
        <f t="shared" ref="B31:G31" si="8">SUM(B28:B30)</f>
        <v>75224009.519999996</v>
      </c>
      <c r="C31" s="126">
        <f t="shared" si="8"/>
        <v>72038788.700000003</v>
      </c>
      <c r="D31" s="126">
        <f t="shared" si="8"/>
        <v>74927615.74000001</v>
      </c>
      <c r="E31" s="126">
        <f t="shared" si="8"/>
        <v>67784319.150000006</v>
      </c>
      <c r="F31" s="126">
        <f t="shared" si="8"/>
        <v>88827897</v>
      </c>
      <c r="G31" s="126">
        <f t="shared" si="8"/>
        <v>99543849.019999996</v>
      </c>
      <c r="H31" s="126">
        <f t="shared" ref="H31" si="9">SUM(H28:H30)</f>
        <v>69078928</v>
      </c>
      <c r="I31" s="102">
        <f t="shared" si="1"/>
        <v>0.28647497043897785</v>
      </c>
      <c r="J31" s="101">
        <f t="shared" si="2"/>
        <v>-30464921.019999996</v>
      </c>
      <c r="K31" s="103" t="str">
        <f t="shared" si="3"/>
        <v>▼</v>
      </c>
      <c r="L31" s="102">
        <f t="shared" si="4"/>
        <v>-0.3060452385549115</v>
      </c>
      <c r="O31" s="33"/>
      <c r="P31" s="73"/>
      <c r="Q31" s="73"/>
      <c r="R31" s="73"/>
    </row>
    <row r="32" spans="1:18" x14ac:dyDescent="0.35">
      <c r="A32" s="100" t="s">
        <v>19</v>
      </c>
      <c r="B32" s="126">
        <f t="shared" ref="B32:H32" si="10">B31+B27</f>
        <v>136570470.19</v>
      </c>
      <c r="C32" s="126">
        <f t="shared" si="10"/>
        <v>116150493.48</v>
      </c>
      <c r="D32" s="126">
        <f t="shared" si="10"/>
        <v>109140652.72000001</v>
      </c>
      <c r="E32" s="126">
        <f t="shared" si="10"/>
        <v>93141638.680000007</v>
      </c>
      <c r="F32" s="126">
        <f t="shared" si="10"/>
        <v>109877989</v>
      </c>
      <c r="G32" s="126">
        <f t="shared" si="10"/>
        <v>119844460.02</v>
      </c>
      <c r="H32" s="126">
        <f t="shared" si="10"/>
        <v>90318111</v>
      </c>
      <c r="I32" s="102">
        <f t="shared" si="1"/>
        <v>0.37455529389265158</v>
      </c>
      <c r="J32" s="101">
        <f t="shared" si="2"/>
        <v>-29526349.019999996</v>
      </c>
      <c r="K32" s="103" t="str">
        <f t="shared" si="3"/>
        <v>▼</v>
      </c>
      <c r="L32" s="102">
        <f t="shared" si="4"/>
        <v>-0.24637224795432811</v>
      </c>
      <c r="O32" s="33"/>
      <c r="P32" s="73"/>
      <c r="Q32" s="73"/>
      <c r="R32" s="73"/>
    </row>
    <row r="33" spans="1:18" x14ac:dyDescent="0.35">
      <c r="A33" s="100" t="s">
        <v>20</v>
      </c>
      <c r="B33" s="126">
        <f t="shared" ref="B33:H33" si="11">B32+B22</f>
        <v>269692088.99000001</v>
      </c>
      <c r="C33" s="126">
        <f t="shared" si="11"/>
        <v>253340788.24000001</v>
      </c>
      <c r="D33" s="126">
        <f t="shared" si="11"/>
        <v>246194904.52000004</v>
      </c>
      <c r="E33" s="126">
        <f t="shared" si="11"/>
        <v>231354180.92000002</v>
      </c>
      <c r="F33" s="126">
        <f t="shared" si="11"/>
        <v>244022870</v>
      </c>
      <c r="G33" s="126">
        <f t="shared" si="11"/>
        <v>280067417.01999998</v>
      </c>
      <c r="H33" s="126">
        <f t="shared" si="11"/>
        <v>241134253</v>
      </c>
      <c r="I33" s="102">
        <f t="shared" si="1"/>
        <v>1</v>
      </c>
      <c r="J33" s="101">
        <f t="shared" si="2"/>
        <v>-38933164.019999981</v>
      </c>
      <c r="K33" s="103" t="str">
        <f t="shared" si="3"/>
        <v>▼</v>
      </c>
      <c r="L33" s="102">
        <f t="shared" si="4"/>
        <v>-0.13901354336131044</v>
      </c>
      <c r="O33" s="33"/>
      <c r="P33" s="73"/>
      <c r="Q33" s="73"/>
      <c r="R33" s="73"/>
    </row>
    <row r="35" spans="1:18" x14ac:dyDescent="0.35">
      <c r="A35" s="24"/>
      <c r="B35" s="149">
        <f t="shared" ref="B35:G35" si="12">B33-B17</f>
        <v>0.13999998569488525</v>
      </c>
      <c r="C35" s="149">
        <f t="shared" si="12"/>
        <v>0</v>
      </c>
      <c r="D35" s="149">
        <f t="shared" si="12"/>
        <v>0</v>
      </c>
      <c r="E35" s="149">
        <f t="shared" si="12"/>
        <v>-9.9999904632568359E-3</v>
      </c>
      <c r="F35" s="149">
        <f t="shared" si="12"/>
        <v>0</v>
      </c>
      <c r="G35" s="149">
        <f t="shared" si="12"/>
        <v>1.9999980926513672E-2</v>
      </c>
      <c r="H35" s="149">
        <f>H33-H17</f>
        <v>0</v>
      </c>
    </row>
    <row r="37" spans="1:18" x14ac:dyDescent="0.35">
      <c r="A37" s="198" t="s">
        <v>238</v>
      </c>
    </row>
    <row r="38" spans="1:18" ht="6.65" customHeight="1" x14ac:dyDescent="0.35"/>
    <row r="39" spans="1:18" ht="28" x14ac:dyDescent="0.35">
      <c r="A39" s="97" t="s">
        <v>0</v>
      </c>
      <c r="B39" s="98">
        <f>B3</f>
        <v>2017</v>
      </c>
      <c r="C39" s="98">
        <f t="shared" ref="C39:H39" si="13">C3</f>
        <v>2018</v>
      </c>
      <c r="D39" s="98">
        <f t="shared" si="13"/>
        <v>2019</v>
      </c>
      <c r="E39" s="98">
        <f t="shared" si="13"/>
        <v>2020</v>
      </c>
      <c r="F39" s="98">
        <f t="shared" si="13"/>
        <v>2021</v>
      </c>
      <c r="G39" s="98">
        <f t="shared" si="13"/>
        <v>2022</v>
      </c>
      <c r="H39" s="98">
        <f t="shared" si="13"/>
        <v>2023</v>
      </c>
      <c r="I39" s="99" t="str">
        <f>I3</f>
        <v>In total  [2023]</v>
      </c>
      <c r="J39" s="241" t="str">
        <f>CONCATENATE(H39," vs. ",G39)</f>
        <v>2023 vs. 2022</v>
      </c>
      <c r="K39" s="241"/>
      <c r="L39" s="241"/>
    </row>
    <row r="40" spans="1:18" x14ac:dyDescent="0.35">
      <c r="A40" s="2" t="s">
        <v>11</v>
      </c>
      <c r="B40" s="2">
        <v>32911592</v>
      </c>
      <c r="C40" s="2">
        <v>19796325.030000001</v>
      </c>
      <c r="D40" s="2">
        <v>12705852</v>
      </c>
      <c r="E40" s="2">
        <v>6420472.3300000001</v>
      </c>
      <c r="F40" s="2">
        <v>4017589.7124179993</v>
      </c>
      <c r="G40" s="2">
        <v>4044764</v>
      </c>
      <c r="H40" s="2">
        <v>7283272.8558851285</v>
      </c>
      <c r="I40" s="57">
        <f>H40/$H$42</f>
        <v>1</v>
      </c>
      <c r="J40" s="58">
        <f t="shared" ref="J40:J42" si="14">H40-G40</f>
        <v>3238508.8558851285</v>
      </c>
      <c r="K40" s="57" t="str">
        <f t="shared" ref="K40:K42" si="15">IF(H40&gt;G40,"▲",IF(H40=G40,"▬","▼"))</f>
        <v>▲</v>
      </c>
      <c r="L40" s="57">
        <f t="shared" ref="L40:L42" si="16">H40/G40-100%</f>
        <v>0.8006669501323509</v>
      </c>
    </row>
    <row r="41" spans="1:18" x14ac:dyDescent="0.35">
      <c r="A41" s="2" t="s">
        <v>12</v>
      </c>
      <c r="B41" s="2">
        <v>0</v>
      </c>
      <c r="C41" s="2"/>
      <c r="D41" s="2"/>
      <c r="E41" s="2"/>
      <c r="F41" s="2"/>
      <c r="G41" s="2"/>
      <c r="H41" s="2"/>
      <c r="I41" s="57">
        <f>H41/$H$42</f>
        <v>0</v>
      </c>
      <c r="J41" s="58">
        <f t="shared" si="14"/>
        <v>0</v>
      </c>
      <c r="K41" s="57" t="str">
        <f t="shared" si="15"/>
        <v>▬</v>
      </c>
      <c r="L41" s="57" t="e">
        <f t="shared" si="16"/>
        <v>#DIV/0!</v>
      </c>
    </row>
    <row r="42" spans="1:18" x14ac:dyDescent="0.35">
      <c r="A42" s="100" t="s">
        <v>239</v>
      </c>
      <c r="B42" s="101">
        <f t="shared" ref="B42:F42" si="17">SUM(B40:B41)</f>
        <v>32911592</v>
      </c>
      <c r="C42" s="101">
        <f t="shared" si="17"/>
        <v>19796325.030000001</v>
      </c>
      <c r="D42" s="101">
        <f t="shared" si="17"/>
        <v>12705852</v>
      </c>
      <c r="E42" s="101">
        <f t="shared" si="17"/>
        <v>6420472.3300000001</v>
      </c>
      <c r="F42" s="101">
        <f t="shared" si="17"/>
        <v>4017589.7124179993</v>
      </c>
      <c r="G42" s="101">
        <f>SUM(G40:G41)</f>
        <v>4044764</v>
      </c>
      <c r="H42" s="101">
        <f>SUM(H40:H41)</f>
        <v>7283272.8558851285</v>
      </c>
      <c r="I42" s="102">
        <f>H42/$H$42</f>
        <v>1</v>
      </c>
      <c r="J42" s="101">
        <f t="shared" si="14"/>
        <v>3238508.8558851285</v>
      </c>
      <c r="K42" s="103" t="str">
        <f t="shared" si="15"/>
        <v>▲</v>
      </c>
      <c r="L42" s="102">
        <f t="shared" si="16"/>
        <v>0.8006669501323509</v>
      </c>
    </row>
    <row r="43" spans="1:18" x14ac:dyDescent="0.35">
      <c r="B43" s="73"/>
      <c r="C43" s="73"/>
      <c r="D43" s="73"/>
      <c r="E43" s="73"/>
      <c r="F43" s="73"/>
      <c r="G43" s="73"/>
      <c r="H43" s="73"/>
    </row>
    <row r="44" spans="1:18" x14ac:dyDescent="0.35">
      <c r="A44" s="199" t="s">
        <v>240</v>
      </c>
    </row>
    <row r="45" spans="1:18" ht="6.65" customHeight="1" x14ac:dyDescent="0.35"/>
    <row r="46" spans="1:18" ht="28" x14ac:dyDescent="0.35">
      <c r="A46" s="97" t="s">
        <v>0</v>
      </c>
      <c r="B46" s="98">
        <f>B3</f>
        <v>2017</v>
      </c>
      <c r="C46" s="98">
        <f t="shared" ref="C46:H46" si="18">C3</f>
        <v>2018</v>
      </c>
      <c r="D46" s="98">
        <f t="shared" si="18"/>
        <v>2019</v>
      </c>
      <c r="E46" s="98">
        <f t="shared" si="18"/>
        <v>2020</v>
      </c>
      <c r="F46" s="98">
        <f t="shared" si="18"/>
        <v>2021</v>
      </c>
      <c r="G46" s="98">
        <f t="shared" si="18"/>
        <v>2022</v>
      </c>
      <c r="H46" s="98">
        <f t="shared" si="18"/>
        <v>2023</v>
      </c>
      <c r="I46" s="99" t="str">
        <f>I3</f>
        <v>In total  [2023]</v>
      </c>
      <c r="J46" s="241" t="str">
        <f>CONCATENATE(H46," vs. ",G46)</f>
        <v>2023 vs. 2022</v>
      </c>
      <c r="K46" s="241"/>
      <c r="L46" s="241"/>
    </row>
    <row r="47" spans="1:18" x14ac:dyDescent="0.35">
      <c r="A47" s="2" t="s">
        <v>16</v>
      </c>
      <c r="B47" s="2">
        <v>41726661.170000002</v>
      </c>
      <c r="C47" s="2">
        <v>42806170.880000003</v>
      </c>
      <c r="D47" s="2">
        <v>46071939.200000003</v>
      </c>
      <c r="E47" s="2">
        <v>37277228.120000005</v>
      </c>
      <c r="F47" s="2">
        <v>46860193.700836428</v>
      </c>
      <c r="G47" s="2">
        <v>45859692</v>
      </c>
      <c r="H47" s="159">
        <v>38178594.690219656</v>
      </c>
      <c r="I47" s="57">
        <f>H47/$H$49</f>
        <v>1</v>
      </c>
      <c r="J47" s="58">
        <f t="shared" ref="J47:J49" si="19">H47-G47</f>
        <v>-7681097.3097803444</v>
      </c>
      <c r="K47" s="57" t="str">
        <f t="shared" ref="K47:K49" si="20">IF(H47&gt;G47,"▲",IF(H47=G47,"▬","▼"))</f>
        <v>▼</v>
      </c>
      <c r="L47" s="57">
        <f t="shared" ref="L47:L49" si="21">H47/G47-100%</f>
        <v>-0.16749125375243135</v>
      </c>
    </row>
    <row r="48" spans="1:18" x14ac:dyDescent="0.35">
      <c r="A48" s="2" t="s">
        <v>17</v>
      </c>
      <c r="B48" s="2">
        <v>86797.22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159">
        <v>0</v>
      </c>
      <c r="I48" s="57">
        <f>H48/$H$49</f>
        <v>0</v>
      </c>
      <c r="J48" s="58">
        <f t="shared" si="19"/>
        <v>0</v>
      </c>
      <c r="K48" s="57" t="str">
        <f t="shared" si="20"/>
        <v>▬</v>
      </c>
      <c r="L48" s="57" t="e">
        <f t="shared" si="21"/>
        <v>#DIV/0!</v>
      </c>
    </row>
    <row r="49" spans="1:12" x14ac:dyDescent="0.35">
      <c r="A49" s="100" t="s">
        <v>239</v>
      </c>
      <c r="B49" s="101">
        <f t="shared" ref="B49" si="22">SUM(B47:B48)</f>
        <v>41813458.390000001</v>
      </c>
      <c r="C49" s="101">
        <f t="shared" ref="C49" si="23">SUM(C47:C48)</f>
        <v>42806170.880000003</v>
      </c>
      <c r="D49" s="101">
        <f t="shared" ref="D49" si="24">SUM(D47:D48)</f>
        <v>46071939.200000003</v>
      </c>
      <c r="E49" s="101">
        <f t="shared" ref="E49" si="25">SUM(E47:E48)</f>
        <v>37277228.120000005</v>
      </c>
      <c r="F49" s="101">
        <f t="shared" ref="F49" si="26">SUM(F47:F48)</f>
        <v>46860193.700836428</v>
      </c>
      <c r="G49" s="101">
        <f>SUM(G47:G48)</f>
        <v>45859692</v>
      </c>
      <c r="H49" s="101">
        <f>SUM(H47:H48)</f>
        <v>38178594.690219656</v>
      </c>
      <c r="I49" s="102">
        <f>H49/$H$49</f>
        <v>1</v>
      </c>
      <c r="J49" s="101">
        <f t="shared" si="19"/>
        <v>-7681097.3097803444</v>
      </c>
      <c r="K49" s="103" t="str">
        <f t="shared" si="20"/>
        <v>▼</v>
      </c>
      <c r="L49" s="102">
        <f t="shared" si="21"/>
        <v>-0.16749125375243135</v>
      </c>
    </row>
    <row r="50" spans="1:12" x14ac:dyDescent="0.35">
      <c r="B50" s="73"/>
      <c r="C50" s="73"/>
      <c r="D50" s="73"/>
      <c r="E50" s="73"/>
      <c r="F50" s="73"/>
      <c r="G50" s="73"/>
      <c r="H50" s="73"/>
    </row>
    <row r="51" spans="1:12" x14ac:dyDescent="0.35">
      <c r="A51" s="24" t="s">
        <v>237</v>
      </c>
    </row>
    <row r="52" spans="1:12" x14ac:dyDescent="0.35">
      <c r="A52" s="24"/>
    </row>
    <row r="53" spans="1:12" x14ac:dyDescent="0.35">
      <c r="A53" s="24" t="s">
        <v>69</v>
      </c>
    </row>
  </sheetData>
  <mergeCells count="3">
    <mergeCell ref="J3:L3"/>
    <mergeCell ref="J39:L39"/>
    <mergeCell ref="J46:L46"/>
  </mergeCells>
  <conditionalFormatting sqref="K4:K33">
    <cfRule type="expression" dxfId="29" priority="7">
      <formula>H4=G4</formula>
    </cfRule>
    <cfRule type="expression" dxfId="28" priority="8">
      <formula>H4&lt;G4</formula>
    </cfRule>
    <cfRule type="expression" dxfId="27" priority="9">
      <formula>H4&gt;G4</formula>
    </cfRule>
  </conditionalFormatting>
  <conditionalFormatting sqref="K40:K42">
    <cfRule type="expression" dxfId="26" priority="43">
      <formula>H40=G40</formula>
    </cfRule>
    <cfRule type="expression" dxfId="25" priority="44">
      <formula>H40&lt;G40</formula>
    </cfRule>
    <cfRule type="expression" dxfId="24" priority="45">
      <formula>H40&gt;G40</formula>
    </cfRule>
  </conditionalFormatting>
  <conditionalFormatting sqref="K47:K49">
    <cfRule type="expression" dxfId="23" priority="1">
      <formula>H47=G47</formula>
    </cfRule>
    <cfRule type="expression" dxfId="22" priority="2">
      <formula>H47&lt;G47</formula>
    </cfRule>
    <cfRule type="expression" dxfId="21" priority="3">
      <formula>H47&gt;G47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B66"/>
  <sheetViews>
    <sheetView showGridLines="0" zoomScale="90" zoomScaleNormal="90" workbookViewId="0">
      <pane xSplit="2" ySplit="3" topLeftCell="C33" activePane="bottomRight" state="frozen"/>
      <selection pane="topRight" activeCell="C1" sqref="C1"/>
      <selection pane="bottomLeft" activeCell="A4" sqref="A4"/>
      <selection pane="bottomRight" activeCell="X26" sqref="X26"/>
    </sheetView>
  </sheetViews>
  <sheetFormatPr defaultColWidth="9.08984375" defaultRowHeight="14.5" x14ac:dyDescent="0.35"/>
  <cols>
    <col min="1" max="1" width="70.54296875" style="53" hidden="1" customWidth="1"/>
    <col min="2" max="2" width="60.08984375" style="53" customWidth="1"/>
    <col min="3" max="6" width="16.08984375" style="53" bestFit="1" customWidth="1"/>
    <col min="7" max="8" width="13.36328125" style="53" bestFit="1" customWidth="1"/>
    <col min="9" max="9" width="15" style="53" customWidth="1"/>
    <col min="10" max="10" width="3.1796875" style="53" bestFit="1" customWidth="1"/>
    <col min="11" max="11" width="12.36328125" style="53" bestFit="1" customWidth="1"/>
    <col min="12" max="12" width="7.54296875" style="53" bestFit="1" customWidth="1"/>
    <col min="13" max="13" width="1.54296875" style="53" customWidth="1"/>
    <col min="14" max="14" width="8.08984375" style="53" customWidth="1"/>
    <col min="15" max="15" width="6.90625" style="53" customWidth="1"/>
    <col min="16" max="16" width="7.36328125" style="53" customWidth="1"/>
    <col min="17" max="18" width="7.90625" style="53" customWidth="1"/>
    <col min="19" max="19" width="7.453125" style="32" customWidth="1"/>
    <col min="20" max="20" width="9.08984375" style="53"/>
    <col min="21" max="21" width="4.36328125" style="53" customWidth="1"/>
    <col min="22" max="22" width="9.08984375" style="53"/>
    <col min="23" max="23" width="18.1796875" style="53" customWidth="1"/>
    <col min="24" max="16384" width="9.08984375" style="53"/>
  </cols>
  <sheetData>
    <row r="2" spans="1:19" ht="15" thickBot="1" x14ac:dyDescent="0.4">
      <c r="A2" s="5"/>
      <c r="B2" s="5"/>
      <c r="C2" s="5"/>
      <c r="D2" s="5"/>
      <c r="E2" s="5"/>
      <c r="F2" s="5"/>
      <c r="G2" s="5"/>
      <c r="H2" s="5"/>
      <c r="J2" s="7"/>
      <c r="K2" s="8"/>
      <c r="L2" s="7"/>
    </row>
    <row r="3" spans="1:19" s="135" customFormat="1" ht="15" thickBot="1" x14ac:dyDescent="0.4">
      <c r="A3" s="30" t="s">
        <v>0</v>
      </c>
      <c r="B3" s="133" t="s">
        <v>21</v>
      </c>
      <c r="C3" s="134">
        <v>2017</v>
      </c>
      <c r="D3" s="134">
        <f>C3+1</f>
        <v>2018</v>
      </c>
      <c r="E3" s="134">
        <f t="shared" ref="E3:I3" si="0">D3+1</f>
        <v>2019</v>
      </c>
      <c r="F3" s="134">
        <f t="shared" si="0"/>
        <v>2020</v>
      </c>
      <c r="G3" s="134">
        <f t="shared" si="0"/>
        <v>2021</v>
      </c>
      <c r="H3" s="134">
        <f t="shared" si="0"/>
        <v>2022</v>
      </c>
      <c r="I3" s="134">
        <f t="shared" si="0"/>
        <v>2023</v>
      </c>
      <c r="J3" s="242" t="str">
        <f>CONCATENATE(I3," vs. ",H3)</f>
        <v>2023 vs. 2022</v>
      </c>
      <c r="K3" s="242"/>
      <c r="L3" s="242"/>
      <c r="S3" s="136"/>
    </row>
    <row r="4" spans="1:19" x14ac:dyDescent="0.35">
      <c r="A4" s="10" t="s">
        <v>67</v>
      </c>
      <c r="B4" s="10" t="s">
        <v>230</v>
      </c>
      <c r="C4" s="10">
        <v>195140694.54999998</v>
      </c>
      <c r="D4" s="10">
        <v>198460718.70000002</v>
      </c>
      <c r="E4" s="10">
        <v>183857279.62999997</v>
      </c>
      <c r="F4" s="10">
        <v>181146471.98999998</v>
      </c>
      <c r="G4" s="10">
        <v>264737647</v>
      </c>
      <c r="H4" s="10">
        <v>262801054</v>
      </c>
      <c r="I4" s="123">
        <v>214230854</v>
      </c>
      <c r="J4" s="6" t="str">
        <f>IF(I4+H4&gt;0,IF(I4&gt;H4,"▲",IF(I4=H4,"▬","▼")),IF(I4&gt;H4,"▼",IF(I4=H4,"▬","▲")))</f>
        <v>▼</v>
      </c>
      <c r="K4" s="10">
        <f>I4-H4</f>
        <v>-48570200</v>
      </c>
      <c r="L4" s="11">
        <f>I4/H4-1</f>
        <v>-0.18481737139456067</v>
      </c>
      <c r="O4" s="124"/>
    </row>
    <row r="5" spans="1:19" x14ac:dyDescent="0.35">
      <c r="A5" s="12" t="s">
        <v>68</v>
      </c>
      <c r="B5" s="12" t="s">
        <v>231</v>
      </c>
      <c r="C5" s="10">
        <v>5090319.22</v>
      </c>
      <c r="D5" s="12">
        <v>4518855.0299999993</v>
      </c>
      <c r="E5" s="12">
        <v>4140236.81</v>
      </c>
      <c r="F5" s="12">
        <v>3967550.28</v>
      </c>
      <c r="G5" s="12">
        <v>4459406</v>
      </c>
      <c r="H5" s="12">
        <v>4454249</v>
      </c>
      <c r="I5" s="125">
        <v>4303986</v>
      </c>
      <c r="J5" s="6" t="str">
        <f t="shared" ref="J5:J21" si="1">IF(I5+H5&gt;0,IF(I5&gt;H5,"▲",IF(I5=H5,"▬","▼")),IF(I5&gt;H5,"▼",IF(I5=H5,"▬","▲")))</f>
        <v>▼</v>
      </c>
      <c r="K5" s="12">
        <f t="shared" ref="K5:K21" si="2">I5-H5</f>
        <v>-150263</v>
      </c>
      <c r="L5" s="11">
        <f t="shared" ref="L5:L21" si="3">I5/H5-1</f>
        <v>-3.3734755286469187E-2</v>
      </c>
      <c r="O5" s="124"/>
    </row>
    <row r="6" spans="1:19" x14ac:dyDescent="0.35">
      <c r="A6" s="12" t="s">
        <v>23</v>
      </c>
      <c r="B6" s="12" t="s">
        <v>232</v>
      </c>
      <c r="C6" s="10">
        <v>2304367</v>
      </c>
      <c r="D6" s="12">
        <v>372436</v>
      </c>
      <c r="E6" s="12">
        <v>3560611</v>
      </c>
      <c r="F6" s="12">
        <v>-843348.13000001945</v>
      </c>
      <c r="G6" s="12">
        <v>872217</v>
      </c>
      <c r="H6" s="12">
        <v>7447653</v>
      </c>
      <c r="I6" s="125">
        <v>485526</v>
      </c>
      <c r="J6" s="6" t="str">
        <f t="shared" si="1"/>
        <v>▼</v>
      </c>
      <c r="K6" s="12">
        <f t="shared" si="2"/>
        <v>-6962127</v>
      </c>
      <c r="L6" s="11">
        <f t="shared" si="3"/>
        <v>-0.93480818722354542</v>
      </c>
      <c r="O6" s="124"/>
    </row>
    <row r="7" spans="1:19" x14ac:dyDescent="0.35">
      <c r="A7" s="12" t="s">
        <v>25</v>
      </c>
      <c r="B7" s="12" t="s">
        <v>27</v>
      </c>
      <c r="C7" s="10">
        <v>-139437992.60999998</v>
      </c>
      <c r="D7" s="12">
        <v>-136656677.34999999</v>
      </c>
      <c r="E7" s="12">
        <v>-123157910.96999998</v>
      </c>
      <c r="F7" s="12">
        <v>-117623988.00999999</v>
      </c>
      <c r="G7" s="12">
        <v>-197945281</v>
      </c>
      <c r="H7" s="12">
        <v>-199065784</v>
      </c>
      <c r="I7" s="125">
        <v>-148776840</v>
      </c>
      <c r="J7" s="6" t="str">
        <f t="shared" si="1"/>
        <v>▼</v>
      </c>
      <c r="K7" s="12">
        <f t="shared" si="2"/>
        <v>50288944</v>
      </c>
      <c r="L7" s="11">
        <f t="shared" si="3"/>
        <v>-0.25262475041918808</v>
      </c>
      <c r="O7" s="124"/>
    </row>
    <row r="8" spans="1:19" x14ac:dyDescent="0.35">
      <c r="A8" s="12" t="s">
        <v>26</v>
      </c>
      <c r="B8" s="12" t="s">
        <v>32</v>
      </c>
      <c r="C8" s="10">
        <v>-34782630.350000001</v>
      </c>
      <c r="D8" s="12">
        <v>-37080271.010000005</v>
      </c>
      <c r="E8" s="12">
        <v>-38593735.280000001</v>
      </c>
      <c r="F8" s="12">
        <v>-37639734.170000002</v>
      </c>
      <c r="G8" s="12">
        <v>-40568395</v>
      </c>
      <c r="H8" s="12">
        <v>-42312860</v>
      </c>
      <c r="I8" s="125">
        <v>-47111543</v>
      </c>
      <c r="J8" s="6" t="str">
        <f t="shared" si="1"/>
        <v>▲</v>
      </c>
      <c r="K8" s="12">
        <f t="shared" si="2"/>
        <v>-4798683</v>
      </c>
      <c r="L8" s="11">
        <f t="shared" si="3"/>
        <v>0.11340956390090384</v>
      </c>
      <c r="O8" s="124"/>
    </row>
    <row r="9" spans="1:19" x14ac:dyDescent="0.35">
      <c r="A9" s="12" t="s">
        <v>28</v>
      </c>
      <c r="B9" s="12" t="s">
        <v>29</v>
      </c>
      <c r="C9" s="10">
        <v>-10706926.199999999</v>
      </c>
      <c r="D9" s="12">
        <v>-11553840.470000001</v>
      </c>
      <c r="E9" s="12">
        <v>-10634489.470000001</v>
      </c>
      <c r="F9" s="12">
        <v>-10202832.52</v>
      </c>
      <c r="G9" s="12">
        <v>-9977583</v>
      </c>
      <c r="H9" s="12">
        <v>-9609158</v>
      </c>
      <c r="I9" s="125">
        <v>-9392805</v>
      </c>
      <c r="J9" s="6" t="str">
        <f t="shared" si="1"/>
        <v>▼</v>
      </c>
      <c r="K9" s="12">
        <f t="shared" si="2"/>
        <v>216353</v>
      </c>
      <c r="L9" s="11">
        <f t="shared" si="3"/>
        <v>-2.2515292182728186E-2</v>
      </c>
      <c r="O9" s="124"/>
    </row>
    <row r="10" spans="1:19" x14ac:dyDescent="0.35">
      <c r="A10" s="12" t="s">
        <v>31</v>
      </c>
      <c r="B10" s="12" t="s">
        <v>36</v>
      </c>
      <c r="C10" s="10">
        <v>-14099310.800000001</v>
      </c>
      <c r="D10" s="12">
        <v>-16247640.980000002</v>
      </c>
      <c r="E10" s="12">
        <v>-15482186.07</v>
      </c>
      <c r="F10" s="12">
        <v>-15084037.750000002</v>
      </c>
      <c r="G10" s="12">
        <v>-15900695</v>
      </c>
      <c r="H10" s="12">
        <v>-18863784</v>
      </c>
      <c r="I10" s="125">
        <v>-16469733</v>
      </c>
      <c r="J10" s="6" t="str">
        <f t="shared" si="1"/>
        <v>▼</v>
      </c>
      <c r="K10" s="12">
        <f t="shared" si="2"/>
        <v>2394051</v>
      </c>
      <c r="L10" s="11">
        <f t="shared" si="3"/>
        <v>-0.12691255370608567</v>
      </c>
      <c r="O10" s="124"/>
    </row>
    <row r="11" spans="1:19" x14ac:dyDescent="0.35">
      <c r="A11" s="12" t="s">
        <v>33</v>
      </c>
      <c r="B11" s="12" t="s">
        <v>24</v>
      </c>
      <c r="C11" s="10">
        <v>4239462.0600000005</v>
      </c>
      <c r="D11" s="12">
        <v>3274542.9499999988</v>
      </c>
      <c r="E11" s="12">
        <v>-253283.14000000185</v>
      </c>
      <c r="F11" s="12">
        <v>-524438.68000000087</v>
      </c>
      <c r="G11" s="12">
        <v>1883115</v>
      </c>
      <c r="H11" s="12">
        <v>1769858</v>
      </c>
      <c r="I11" s="125">
        <v>4863752</v>
      </c>
      <c r="J11" s="6" t="str">
        <f t="shared" si="1"/>
        <v>▲</v>
      </c>
      <c r="K11" s="12">
        <f t="shared" si="2"/>
        <v>3093894</v>
      </c>
      <c r="L11" s="11">
        <f t="shared" si="3"/>
        <v>1.7481029551523344</v>
      </c>
      <c r="O11" s="124"/>
    </row>
    <row r="12" spans="1:19" x14ac:dyDescent="0.35">
      <c r="A12" s="12" t="s">
        <v>34</v>
      </c>
      <c r="B12" s="137" t="s">
        <v>233</v>
      </c>
      <c r="C12" s="138">
        <f>SUM(C4:C11)</f>
        <v>7747982.8699999955</v>
      </c>
      <c r="D12" s="138">
        <f>SUM(D4:D11)</f>
        <v>5088122.8700000178</v>
      </c>
      <c r="E12" s="138">
        <f>SUM(E4:E11)+1</f>
        <v>3436523.5099999816</v>
      </c>
      <c r="F12" s="138">
        <f>SUM(F4:F11)</f>
        <v>3195643.0099999616</v>
      </c>
      <c r="G12" s="138">
        <f>SUM(G4:G11)</f>
        <v>7560431</v>
      </c>
      <c r="H12" s="138">
        <f>SUM(H4:H11)</f>
        <v>6621228</v>
      </c>
      <c r="I12" s="139">
        <f>SUM(I4:I11)</f>
        <v>2133197</v>
      </c>
      <c r="J12" s="126" t="str">
        <f t="shared" si="1"/>
        <v>▼</v>
      </c>
      <c r="K12" s="138">
        <f>SUM(K4:K11)</f>
        <v>-4488031</v>
      </c>
      <c r="L12" s="127">
        <f t="shared" si="3"/>
        <v>-0.6778245666815883</v>
      </c>
      <c r="O12" s="124"/>
    </row>
    <row r="13" spans="1:19" x14ac:dyDescent="0.35">
      <c r="A13" s="12" t="s">
        <v>61</v>
      </c>
      <c r="B13" s="12" t="s">
        <v>234</v>
      </c>
      <c r="C13" s="10">
        <v>1161649.8699999999</v>
      </c>
      <c r="D13" s="12">
        <v>1322967.5999999999</v>
      </c>
      <c r="E13" s="12">
        <v>86398.37</v>
      </c>
      <c r="F13" s="12">
        <v>105139.08</v>
      </c>
      <c r="G13" s="12">
        <v>128719</v>
      </c>
      <c r="H13" s="12">
        <v>47336583</v>
      </c>
      <c r="I13" s="125">
        <v>3444434</v>
      </c>
      <c r="J13" s="6" t="str">
        <f t="shared" si="1"/>
        <v>▼</v>
      </c>
      <c r="K13" s="12">
        <f t="shared" si="2"/>
        <v>-43892149</v>
      </c>
      <c r="L13" s="11">
        <f t="shared" si="3"/>
        <v>-0.92723526326351013</v>
      </c>
      <c r="O13" s="124"/>
    </row>
    <row r="14" spans="1:19" x14ac:dyDescent="0.35">
      <c r="A14" s="12" t="s">
        <v>35</v>
      </c>
      <c r="B14" s="12" t="s">
        <v>241</v>
      </c>
      <c r="C14" s="10">
        <v>-3171295.09</v>
      </c>
      <c r="D14" s="12">
        <v>-1945033.2999999998</v>
      </c>
      <c r="E14" s="12">
        <v>-2935381.92</v>
      </c>
      <c r="F14" s="12">
        <v>-2303518.65</v>
      </c>
      <c r="G14" s="12">
        <v>-1769889</v>
      </c>
      <c r="H14" s="12">
        <v>-1574050</v>
      </c>
      <c r="I14" s="125">
        <v>-2081299</v>
      </c>
      <c r="J14" s="6" t="str">
        <f t="shared" ref="J14" si="4">IF(I14+H14&gt;0,IF(I14&gt;H14,"▲",IF(I14=H14,"▬","▼")),IF(I14&gt;H14,"▼",IF(I14=H14,"▬","▲")))</f>
        <v>▲</v>
      </c>
      <c r="K14" s="12">
        <f t="shared" ref="K14" si="5">I14-H14</f>
        <v>-507249</v>
      </c>
      <c r="L14" s="11">
        <f t="shared" ref="L14" si="6">I14/H14-1</f>
        <v>0.3222572345224104</v>
      </c>
      <c r="O14" s="124"/>
    </row>
    <row r="15" spans="1:19" ht="15" thickBot="1" x14ac:dyDescent="0.4">
      <c r="A15" s="12" t="s">
        <v>35</v>
      </c>
      <c r="B15" s="12" t="s">
        <v>30</v>
      </c>
      <c r="C15" s="10">
        <v>0</v>
      </c>
      <c r="D15" s="12">
        <v>0</v>
      </c>
      <c r="E15" s="12">
        <v>0</v>
      </c>
      <c r="F15" s="12">
        <v>110138</v>
      </c>
      <c r="G15" s="12">
        <v>-6477632</v>
      </c>
      <c r="H15" s="12">
        <v>0</v>
      </c>
      <c r="I15" s="125">
        <v>0</v>
      </c>
      <c r="J15" s="6" t="str">
        <f t="shared" si="1"/>
        <v>▬</v>
      </c>
      <c r="K15" s="12">
        <f t="shared" si="2"/>
        <v>0</v>
      </c>
      <c r="L15" s="11"/>
      <c r="O15" s="124"/>
    </row>
    <row r="16" spans="1:19" ht="15" thickBot="1" x14ac:dyDescent="0.4">
      <c r="A16" s="9" t="s">
        <v>37</v>
      </c>
      <c r="B16" s="137" t="s">
        <v>38</v>
      </c>
      <c r="C16" s="138">
        <f t="shared" ref="C16:E16" si="7">SUM(C12:C15)</f>
        <v>5738337.6499999948</v>
      </c>
      <c r="D16" s="138">
        <f t="shared" si="7"/>
        <v>4466057.1700000176</v>
      </c>
      <c r="E16" s="138">
        <f t="shared" si="7"/>
        <v>587539.9599999818</v>
      </c>
      <c r="F16" s="138">
        <f>SUM(F12:F15)+1</f>
        <v>1107402.4399999618</v>
      </c>
      <c r="G16" s="138">
        <f>SUM(G12:G15)</f>
        <v>-558371</v>
      </c>
      <c r="H16" s="138">
        <f>SUM(H12:H15)</f>
        <v>52383761</v>
      </c>
      <c r="I16" s="139">
        <f>SUM(I12:I15)</f>
        <v>3496332</v>
      </c>
      <c r="J16" s="126" t="str">
        <f t="shared" si="1"/>
        <v>▼</v>
      </c>
      <c r="K16" s="138">
        <f t="shared" si="2"/>
        <v>-48887429</v>
      </c>
      <c r="L16" s="127">
        <f t="shared" si="3"/>
        <v>-0.93325542241993653</v>
      </c>
    </row>
    <row r="17" spans="1:20" ht="15" thickBot="1" x14ac:dyDescent="0.4">
      <c r="A17" s="12" t="s">
        <v>39</v>
      </c>
      <c r="B17" s="12" t="s">
        <v>40</v>
      </c>
      <c r="C17" s="12">
        <v>-940272</v>
      </c>
      <c r="D17" s="12">
        <v>334297</v>
      </c>
      <c r="E17" s="12">
        <v>-217442</v>
      </c>
      <c r="F17" s="12">
        <v>-238297</v>
      </c>
      <c r="G17" s="12">
        <v>-889087</v>
      </c>
      <c r="H17" s="12">
        <v>-912071</v>
      </c>
      <c r="I17" s="125">
        <v>-182523</v>
      </c>
      <c r="J17" s="6" t="str">
        <f t="shared" si="1"/>
        <v>▼</v>
      </c>
      <c r="K17" s="12">
        <f t="shared" si="2"/>
        <v>729548</v>
      </c>
      <c r="L17" s="11">
        <f t="shared" si="3"/>
        <v>-0.79988071104113612</v>
      </c>
    </row>
    <row r="18" spans="1:20" ht="15" thickBot="1" x14ac:dyDescent="0.4">
      <c r="A18" s="9" t="s">
        <v>41</v>
      </c>
      <c r="B18" s="137" t="s">
        <v>42</v>
      </c>
      <c r="C18" s="138">
        <f t="shared" ref="C18:I18" si="8">C16+C17</f>
        <v>4798065.6499999948</v>
      </c>
      <c r="D18" s="138">
        <f t="shared" si="8"/>
        <v>4800354.1700000176</v>
      </c>
      <c r="E18" s="138">
        <f t="shared" si="8"/>
        <v>370097.9599999818</v>
      </c>
      <c r="F18" s="138">
        <f t="shared" si="8"/>
        <v>869105.43999996176</v>
      </c>
      <c r="G18" s="138">
        <f t="shared" si="8"/>
        <v>-1447458</v>
      </c>
      <c r="H18" s="138">
        <f t="shared" si="8"/>
        <v>51471690</v>
      </c>
      <c r="I18" s="139">
        <f t="shared" si="8"/>
        <v>3313809</v>
      </c>
      <c r="J18" s="126" t="str">
        <f t="shared" si="1"/>
        <v>▼</v>
      </c>
      <c r="K18" s="138">
        <f t="shared" si="2"/>
        <v>-48157881</v>
      </c>
      <c r="L18" s="127">
        <f t="shared" si="3"/>
        <v>-0.93561880326835978</v>
      </c>
    </row>
    <row r="19" spans="1:20" x14ac:dyDescent="0.35">
      <c r="A19" s="12" t="s">
        <v>43</v>
      </c>
      <c r="B19" s="12" t="s">
        <v>246</v>
      </c>
      <c r="C19" s="6">
        <v>0</v>
      </c>
      <c r="D19" s="6"/>
      <c r="E19" s="6"/>
      <c r="F19" s="6"/>
      <c r="G19" s="6"/>
      <c r="H19" s="6">
        <v>745264</v>
      </c>
      <c r="I19" s="125"/>
      <c r="J19" s="6" t="str">
        <f t="shared" si="1"/>
        <v>▼</v>
      </c>
      <c r="K19" s="12">
        <f t="shared" si="2"/>
        <v>-745264</v>
      </c>
      <c r="L19" s="11"/>
    </row>
    <row r="20" spans="1:20" ht="15" thickBot="1" x14ac:dyDescent="0.4">
      <c r="A20" s="15" t="s">
        <v>44</v>
      </c>
      <c r="B20" s="15" t="s">
        <v>159</v>
      </c>
      <c r="C20" s="16">
        <v>0</v>
      </c>
      <c r="D20" s="16">
        <v>1275648</v>
      </c>
      <c r="E20" s="16">
        <v>74009</v>
      </c>
      <c r="F20" s="16">
        <v>289186</v>
      </c>
      <c r="G20" s="16">
        <v>21016.697074381635</v>
      </c>
      <c r="H20" s="16">
        <v>273332</v>
      </c>
      <c r="I20" s="128">
        <v>485482</v>
      </c>
      <c r="J20" s="6" t="str">
        <f t="shared" si="1"/>
        <v>▲</v>
      </c>
      <c r="K20" s="12">
        <f t="shared" si="2"/>
        <v>212150</v>
      </c>
      <c r="L20" s="11">
        <f t="shared" si="3"/>
        <v>0.77616232274303787</v>
      </c>
    </row>
    <row r="21" spans="1:20" ht="15" thickBot="1" x14ac:dyDescent="0.4">
      <c r="A21" s="9" t="s">
        <v>46</v>
      </c>
      <c r="B21" s="137" t="s">
        <v>45</v>
      </c>
      <c r="C21" s="138">
        <f t="shared" ref="C21:I21" si="9">C18+C19+C20</f>
        <v>4798065.6499999948</v>
      </c>
      <c r="D21" s="138">
        <f t="shared" si="9"/>
        <v>6076002.1700000176</v>
      </c>
      <c r="E21" s="138">
        <f t="shared" si="9"/>
        <v>444106.9599999818</v>
      </c>
      <c r="F21" s="138">
        <f t="shared" si="9"/>
        <v>1158291.4399999618</v>
      </c>
      <c r="G21" s="138">
        <f t="shared" si="9"/>
        <v>-1426441.3029256184</v>
      </c>
      <c r="H21" s="138">
        <f t="shared" si="9"/>
        <v>52490286</v>
      </c>
      <c r="I21" s="139">
        <f t="shared" si="9"/>
        <v>3799291</v>
      </c>
      <c r="J21" s="126" t="str">
        <f t="shared" si="1"/>
        <v>▼</v>
      </c>
      <c r="K21" s="138">
        <f t="shared" si="2"/>
        <v>-48690995</v>
      </c>
      <c r="L21" s="127">
        <f t="shared" si="3"/>
        <v>-0.92761915985750198</v>
      </c>
    </row>
    <row r="23" spans="1:20" x14ac:dyDescent="0.35">
      <c r="A23" s="24" t="s">
        <v>59</v>
      </c>
      <c r="B23" s="213" t="s">
        <v>204</v>
      </c>
      <c r="C23" s="214"/>
      <c r="N23" s="213" t="s">
        <v>214</v>
      </c>
      <c r="O23" s="213"/>
      <c r="P23" s="213"/>
    </row>
    <row r="24" spans="1:20" ht="15" thickBot="1" x14ac:dyDescent="0.4"/>
    <row r="25" spans="1:20" s="135" customFormat="1" ht="15" thickBot="1" x14ac:dyDescent="0.4">
      <c r="A25" s="30"/>
      <c r="B25" s="133"/>
      <c r="C25" s="134">
        <f t="shared" ref="C25:H25" si="10">C3</f>
        <v>2017</v>
      </c>
      <c r="D25" s="134">
        <f t="shared" si="10"/>
        <v>2018</v>
      </c>
      <c r="E25" s="134">
        <f t="shared" si="10"/>
        <v>2019</v>
      </c>
      <c r="F25" s="134">
        <f t="shared" si="10"/>
        <v>2020</v>
      </c>
      <c r="G25" s="134">
        <f t="shared" si="10"/>
        <v>2021</v>
      </c>
      <c r="H25" s="134">
        <f t="shared" si="10"/>
        <v>2022</v>
      </c>
      <c r="I25" s="134">
        <f t="shared" ref="I25" si="11">I3</f>
        <v>2023</v>
      </c>
      <c r="J25" s="242" t="str">
        <f>CONCATENATE(I25," vs. ",H25)</f>
        <v>2023 vs. 2022</v>
      </c>
      <c r="K25" s="242"/>
      <c r="L25" s="242"/>
      <c r="N25" s="134">
        <f>C25</f>
        <v>2017</v>
      </c>
      <c r="O25" s="134">
        <f t="shared" ref="O25:T25" si="12">D25</f>
        <v>2018</v>
      </c>
      <c r="P25" s="134">
        <f t="shared" si="12"/>
        <v>2019</v>
      </c>
      <c r="Q25" s="134">
        <f t="shared" si="12"/>
        <v>2020</v>
      </c>
      <c r="R25" s="134">
        <f t="shared" si="12"/>
        <v>2021</v>
      </c>
      <c r="S25" s="134">
        <f t="shared" si="12"/>
        <v>2022</v>
      </c>
      <c r="T25" s="134">
        <f t="shared" si="12"/>
        <v>2023</v>
      </c>
    </row>
    <row r="26" spans="1:20" s="59" customFormat="1" x14ac:dyDescent="0.35">
      <c r="A26" s="59" t="s">
        <v>62</v>
      </c>
      <c r="B26" s="59" t="s">
        <v>70</v>
      </c>
      <c r="C26" s="160">
        <v>140128882.90000001</v>
      </c>
      <c r="D26" s="160">
        <v>148386635.03000003</v>
      </c>
      <c r="E26" s="160">
        <v>139916137.94</v>
      </c>
      <c r="F26" s="160">
        <v>129838504.71999997</v>
      </c>
      <c r="G26" s="160">
        <v>169491035.27999997</v>
      </c>
      <c r="H26" s="160">
        <v>183306274.85999998</v>
      </c>
      <c r="I26" s="161">
        <v>153331408.29000008</v>
      </c>
      <c r="J26" s="6" t="str">
        <f t="shared" ref="J26:J31" si="13">IF(I26+H26&gt;0,IF(I26&gt;H26,"▲",IF(I26=H26,"▬","▼")),IF(I26&gt;H26,"▼",IF(I26=H26,"▬","▲")))</f>
        <v>▼</v>
      </c>
      <c r="K26" s="60">
        <f t="shared" ref="K26:K31" si="14">I26-H26</f>
        <v>-29974866.569999903</v>
      </c>
      <c r="L26" s="61">
        <f t="shared" ref="L26:L31" si="15">I26/H26-1</f>
        <v>-0.16352340689315292</v>
      </c>
      <c r="N26" s="62">
        <f t="shared" ref="N26:T30" si="16">C26/C$31</f>
        <v>0.71809154022012134</v>
      </c>
      <c r="O26" s="62">
        <f t="shared" si="16"/>
        <v>0.74768768315816914</v>
      </c>
      <c r="P26" s="62">
        <f t="shared" si="16"/>
        <v>0.76100406872913107</v>
      </c>
      <c r="Q26" s="62">
        <f t="shared" si="16"/>
        <v>0.71675977511525846</v>
      </c>
      <c r="R26" s="62">
        <f t="shared" si="16"/>
        <v>0.64022263977278404</v>
      </c>
      <c r="S26" s="62">
        <f t="shared" si="16"/>
        <v>0.69750966362676325</v>
      </c>
      <c r="T26" s="89">
        <f t="shared" si="16"/>
        <v>0.71572980894765248</v>
      </c>
    </row>
    <row r="27" spans="1:20" s="59" customFormat="1" x14ac:dyDescent="0.35">
      <c r="A27" s="59" t="s">
        <v>63</v>
      </c>
      <c r="B27" s="59" t="s">
        <v>71</v>
      </c>
      <c r="C27" s="162">
        <v>48145.760000000002</v>
      </c>
      <c r="D27" s="162">
        <v>10205.08</v>
      </c>
      <c r="E27" s="162">
        <v>18643.099999999999</v>
      </c>
      <c r="F27" s="162">
        <v>17409.099999999999</v>
      </c>
      <c r="G27" s="162">
        <v>40937.800000000003</v>
      </c>
      <c r="H27" s="162">
        <v>68499.350000000006</v>
      </c>
      <c r="I27" s="161">
        <v>4377.54</v>
      </c>
      <c r="J27" s="6" t="str">
        <f t="shared" si="13"/>
        <v>▼</v>
      </c>
      <c r="K27" s="60">
        <f t="shared" si="14"/>
        <v>-64121.810000000005</v>
      </c>
      <c r="L27" s="61">
        <f>I27/H27-1</f>
        <v>-0.93609370015919857</v>
      </c>
      <c r="N27" s="63">
        <f t="shared" si="16"/>
        <v>2.467233181195103E-4</v>
      </c>
      <c r="O27" s="63">
        <f t="shared" si="16"/>
        <v>5.1421158112394232E-5</v>
      </c>
      <c r="P27" s="63">
        <f t="shared" si="16"/>
        <v>1.0139984681258179E-4</v>
      </c>
      <c r="Q27" s="63">
        <f t="shared" si="16"/>
        <v>9.6105100931872834E-5</v>
      </c>
      <c r="R27" s="63">
        <f t="shared" si="16"/>
        <v>1.546353548386343E-4</v>
      </c>
      <c r="S27" s="63">
        <f t="shared" si="16"/>
        <v>2.6065097124276332E-4</v>
      </c>
      <c r="T27" s="89">
        <f t="shared" si="16"/>
        <v>2.0433751328592229E-5</v>
      </c>
    </row>
    <row r="28" spans="1:20" s="59" customFormat="1" x14ac:dyDescent="0.35">
      <c r="A28" s="59" t="s">
        <v>64</v>
      </c>
      <c r="B28" s="59" t="s">
        <v>72</v>
      </c>
      <c r="C28" s="162">
        <v>293438.77999999991</v>
      </c>
      <c r="D28" s="162">
        <v>226335.83999999994</v>
      </c>
      <c r="E28" s="162">
        <v>286432.85000000003</v>
      </c>
      <c r="F28" s="162">
        <v>320970.99</v>
      </c>
      <c r="G28" s="162">
        <v>488677.3</v>
      </c>
      <c r="H28" s="162">
        <v>721836.0700000003</v>
      </c>
      <c r="I28" s="161">
        <v>425121.62000000011</v>
      </c>
      <c r="J28" s="6" t="str">
        <f t="shared" si="13"/>
        <v>▼</v>
      </c>
      <c r="K28" s="60">
        <f t="shared" si="14"/>
        <v>-296714.45000000019</v>
      </c>
      <c r="L28" s="61">
        <f t="shared" si="15"/>
        <v>-0.41105517212516141</v>
      </c>
      <c r="N28" s="63">
        <f t="shared" si="16"/>
        <v>1.5037292892778301E-3</v>
      </c>
      <c r="O28" s="63">
        <f t="shared" si="16"/>
        <v>1.1404566172084451E-3</v>
      </c>
      <c r="P28" s="63">
        <f t="shared" si="16"/>
        <v>1.5579086692712706E-3</v>
      </c>
      <c r="Q28" s="63">
        <f t="shared" si="16"/>
        <v>1.7718865070654513E-3</v>
      </c>
      <c r="R28" s="63">
        <f t="shared" si="16"/>
        <v>1.8458927369591365E-3</v>
      </c>
      <c r="S28" s="63">
        <f t="shared" si="16"/>
        <v>2.7467015778041598E-3</v>
      </c>
      <c r="T28" s="89">
        <f t="shared" si="16"/>
        <v>1.9844089300128116E-3</v>
      </c>
    </row>
    <row r="29" spans="1:20" s="59" customFormat="1" x14ac:dyDescent="0.35">
      <c r="A29" s="59" t="s">
        <v>65</v>
      </c>
      <c r="B29" s="59" t="s">
        <v>73</v>
      </c>
      <c r="C29" s="162">
        <v>51024723.97999993</v>
      </c>
      <c r="D29" s="162">
        <v>45297333.24999997</v>
      </c>
      <c r="E29" s="162">
        <v>38612117.799999997</v>
      </c>
      <c r="F29" s="162">
        <v>45457832.159999996</v>
      </c>
      <c r="G29" s="162">
        <v>89734867.799999997</v>
      </c>
      <c r="H29" s="162">
        <v>71556260.069999978</v>
      </c>
      <c r="I29" s="161">
        <v>53057503.010000013</v>
      </c>
      <c r="J29" s="6" t="str">
        <f t="shared" si="13"/>
        <v>▼</v>
      </c>
      <c r="K29" s="60">
        <f t="shared" si="14"/>
        <v>-18498757.059999965</v>
      </c>
      <c r="L29" s="61">
        <f t="shared" si="15"/>
        <v>-0.25852045707676086</v>
      </c>
      <c r="N29" s="63">
        <f t="shared" si="16"/>
        <v>0.26147659121961581</v>
      </c>
      <c r="O29" s="63">
        <f t="shared" si="16"/>
        <v>0.22824331951518861</v>
      </c>
      <c r="P29" s="63">
        <f t="shared" si="16"/>
        <v>0.21001136238229492</v>
      </c>
      <c r="Q29" s="63">
        <f t="shared" si="16"/>
        <v>0.25094516935860756</v>
      </c>
      <c r="R29" s="63">
        <f t="shared" si="16"/>
        <v>0.33895771447539774</v>
      </c>
      <c r="S29" s="63">
        <f t="shared" si="16"/>
        <v>0.27228300247732651</v>
      </c>
      <c r="T29" s="89">
        <f t="shared" si="16"/>
        <v>0.24766508646919821</v>
      </c>
    </row>
    <row r="30" spans="1:20" s="59" customFormat="1" ht="15" thickBot="1" x14ac:dyDescent="0.4">
      <c r="A30" s="59" t="s">
        <v>66</v>
      </c>
      <c r="B30" s="59" t="s">
        <v>74</v>
      </c>
      <c r="C30" s="162">
        <v>3645504.5100000021</v>
      </c>
      <c r="D30" s="162">
        <v>4540209.59</v>
      </c>
      <c r="E30" s="162">
        <v>5023948.0399999991</v>
      </c>
      <c r="F30" s="162">
        <v>5511755.2900000028</v>
      </c>
      <c r="G30" s="162">
        <v>4982128.9300000006</v>
      </c>
      <c r="H30" s="162">
        <v>7148183.7700000098</v>
      </c>
      <c r="I30" s="87">
        <v>7412443.6600000029</v>
      </c>
      <c r="J30" s="6" t="str">
        <f t="shared" si="13"/>
        <v>▲</v>
      </c>
      <c r="K30" s="60">
        <f t="shared" si="14"/>
        <v>264259.88999999315</v>
      </c>
      <c r="L30" s="61">
        <f t="shared" si="15"/>
        <v>3.6968815926229803E-2</v>
      </c>
      <c r="N30" s="63">
        <f t="shared" si="16"/>
        <v>1.8681415952865633E-2</v>
      </c>
      <c r="O30" s="63">
        <f t="shared" si="16"/>
        <v>2.2877119551321361E-2</v>
      </c>
      <c r="P30" s="63">
        <f t="shared" si="16"/>
        <v>2.7325260372490116E-2</v>
      </c>
      <c r="Q30" s="63">
        <f t="shared" si="16"/>
        <v>3.0427063918136741E-2</v>
      </c>
      <c r="R30" s="63">
        <f t="shared" si="16"/>
        <v>1.8819117660020215E-2</v>
      </c>
      <c r="S30" s="63">
        <f t="shared" si="16"/>
        <v>2.7199981346863293E-2</v>
      </c>
      <c r="T30" s="89">
        <f t="shared" si="16"/>
        <v>3.4600261901807892E-2</v>
      </c>
    </row>
    <row r="31" spans="1:20" s="18" customFormat="1" ht="15" thickBot="1" x14ac:dyDescent="0.4">
      <c r="A31" s="19" t="s">
        <v>58</v>
      </c>
      <c r="B31" s="19"/>
      <c r="C31" s="20">
        <f>SUM(C26:C30)</f>
        <v>195140695.92999992</v>
      </c>
      <c r="D31" s="20">
        <f t="shared" ref="D31:I31" si="17">SUM(D26:D30)</f>
        <v>198460718.79000002</v>
      </c>
      <c r="E31" s="20">
        <f t="shared" si="17"/>
        <v>183857279.72999999</v>
      </c>
      <c r="F31" s="20">
        <f t="shared" si="17"/>
        <v>181146472.25999996</v>
      </c>
      <c r="G31" s="20">
        <f t="shared" si="17"/>
        <v>264737647.11000001</v>
      </c>
      <c r="H31" s="20">
        <f t="shared" si="17"/>
        <v>262801054.11999997</v>
      </c>
      <c r="I31" s="88">
        <f t="shared" si="17"/>
        <v>214230854.12000009</v>
      </c>
      <c r="J31" s="50" t="str">
        <f t="shared" si="13"/>
        <v>▼</v>
      </c>
      <c r="K31" s="41">
        <f t="shared" si="14"/>
        <v>-48570199.999999881</v>
      </c>
      <c r="L31" s="14">
        <f t="shared" si="15"/>
        <v>-0.18481737131016907</v>
      </c>
      <c r="N31" s="28">
        <f t="shared" ref="N31:T31" si="18">SUM(N27:N30)</f>
        <v>0.28190845977987877</v>
      </c>
      <c r="O31" s="28">
        <f t="shared" si="18"/>
        <v>0.25231231684183081</v>
      </c>
      <c r="P31" s="29">
        <f t="shared" si="18"/>
        <v>0.23899593127086888</v>
      </c>
      <c r="Q31" s="29">
        <f t="shared" si="18"/>
        <v>0.28324022488474165</v>
      </c>
      <c r="R31" s="29">
        <f t="shared" si="18"/>
        <v>0.35977736022721574</v>
      </c>
      <c r="S31" s="29">
        <f t="shared" si="18"/>
        <v>0.30249033637323675</v>
      </c>
      <c r="T31" s="90">
        <f t="shared" si="18"/>
        <v>0.28427019105234752</v>
      </c>
    </row>
    <row r="32" spans="1:20" s="18" customFormat="1" x14ac:dyDescent="0.35">
      <c r="A32" s="25"/>
      <c r="B32" s="25"/>
      <c r="C32" s="25">
        <f t="shared" ref="C32:I32" si="19">C31-C4</f>
        <v>1.3799999356269836</v>
      </c>
      <c r="D32" s="25">
        <f t="shared" si="19"/>
        <v>9.0000003576278687E-2</v>
      </c>
      <c r="E32" s="25">
        <f t="shared" si="19"/>
        <v>0.10000002384185791</v>
      </c>
      <c r="F32" s="25">
        <f t="shared" si="19"/>
        <v>0.26999998092651367</v>
      </c>
      <c r="G32" s="25">
        <f t="shared" si="19"/>
        <v>0.11000001430511475</v>
      </c>
      <c r="H32" s="25">
        <f t="shared" si="19"/>
        <v>0.11999997496604919</v>
      </c>
      <c r="I32" s="25">
        <f t="shared" si="19"/>
        <v>0.12000009417533875</v>
      </c>
      <c r="J32" s="51"/>
      <c r="K32" s="26"/>
      <c r="L32" s="27"/>
      <c r="S32" s="32"/>
    </row>
    <row r="33" spans="1:28" s="18" customFormat="1" x14ac:dyDescent="0.35">
      <c r="A33" s="74"/>
      <c r="B33" s="243" t="s">
        <v>215</v>
      </c>
      <c r="C33" s="24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213" t="s">
        <v>214</v>
      </c>
      <c r="O33" s="213"/>
      <c r="P33" s="213"/>
      <c r="Q33" s="53"/>
      <c r="R33" s="53"/>
      <c r="S33" s="32"/>
      <c r="T33" s="53"/>
      <c r="V33" s="244" t="s">
        <v>210</v>
      </c>
      <c r="W33" s="244"/>
      <c r="X33" s="245" t="s">
        <v>212</v>
      </c>
      <c r="Y33" s="245"/>
      <c r="Z33" s="245"/>
      <c r="AA33" s="245"/>
      <c r="AB33" s="245"/>
    </row>
    <row r="34" spans="1:28" s="18" customFormat="1" x14ac:dyDescent="0.35">
      <c r="A34" s="7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32"/>
      <c r="T34" s="53"/>
    </row>
    <row r="35" spans="1:28" s="18" customFormat="1" x14ac:dyDescent="0.35">
      <c r="A35" s="74"/>
      <c r="B35" s="133"/>
      <c r="C35" s="134">
        <f t="shared" ref="C35:I35" si="20">C3</f>
        <v>2017</v>
      </c>
      <c r="D35" s="134">
        <f t="shared" si="20"/>
        <v>2018</v>
      </c>
      <c r="E35" s="134">
        <f t="shared" si="20"/>
        <v>2019</v>
      </c>
      <c r="F35" s="134">
        <f t="shared" si="20"/>
        <v>2020</v>
      </c>
      <c r="G35" s="134">
        <f t="shared" si="20"/>
        <v>2021</v>
      </c>
      <c r="H35" s="134">
        <f t="shared" si="20"/>
        <v>2022</v>
      </c>
      <c r="I35" s="134">
        <f t="shared" si="20"/>
        <v>2023</v>
      </c>
      <c r="J35" s="242" t="str">
        <f>CONCATENATE(I35," vs. ",H35)</f>
        <v>2023 vs. 2022</v>
      </c>
      <c r="K35" s="242"/>
      <c r="L35" s="242"/>
      <c r="M35" s="135"/>
      <c r="N35" s="134">
        <f>C35</f>
        <v>2017</v>
      </c>
      <c r="O35" s="134">
        <f t="shared" ref="O35" si="21">D35</f>
        <v>2018</v>
      </c>
      <c r="P35" s="134">
        <f t="shared" ref="P35" si="22">E35</f>
        <v>2019</v>
      </c>
      <c r="Q35" s="134">
        <f t="shared" ref="Q35" si="23">F35</f>
        <v>2020</v>
      </c>
      <c r="R35" s="134">
        <f t="shared" ref="R35" si="24">G35</f>
        <v>2021</v>
      </c>
      <c r="S35" s="134">
        <f t="shared" ref="S35" si="25">H35</f>
        <v>2022</v>
      </c>
      <c r="T35" s="134">
        <f t="shared" ref="T35" si="26">I35</f>
        <v>2023</v>
      </c>
    </row>
    <row r="36" spans="1:28" s="18" customFormat="1" x14ac:dyDescent="0.35">
      <c r="A36" s="129"/>
      <c r="B36" s="140" t="s">
        <v>199</v>
      </c>
      <c r="C36" s="163">
        <v>101155949.34</v>
      </c>
      <c r="D36" s="163">
        <v>108553299.26000002</v>
      </c>
      <c r="E36" s="163">
        <v>103347658.91</v>
      </c>
      <c r="F36" s="163">
        <v>101171874.89999998</v>
      </c>
      <c r="G36" s="163">
        <v>125387822.75</v>
      </c>
      <c r="H36" s="163">
        <v>127314643.90000001</v>
      </c>
      <c r="I36" s="164">
        <v>109074941.45000003</v>
      </c>
      <c r="J36" s="6" t="str">
        <f t="shared" ref="J36:J40" si="27">IF(I36+H36&gt;0,IF(I36&gt;H36,"▲",IF(I36=H36,"▬","▼")),IF(I36&gt;H36,"▼",IF(I36=H36,"▬","▲")))</f>
        <v>▼</v>
      </c>
      <c r="K36" s="10">
        <f t="shared" ref="K36" si="28">I36-H36</f>
        <v>-18239702.449999973</v>
      </c>
      <c r="L36" s="11">
        <f t="shared" ref="L36" si="29">I36/H36-1</f>
        <v>-0.14326476429786383</v>
      </c>
      <c r="N36" s="130">
        <f>C36/C$40</f>
        <v>0.51837444187595927</v>
      </c>
      <c r="O36" s="130">
        <f t="shared" ref="O36:O39" si="30">D36/D$40</f>
        <v>0.54697624760124475</v>
      </c>
      <c r="P36" s="130">
        <f t="shared" ref="P36:P39" si="31">E36/E$40</f>
        <v>0.5621080604573786</v>
      </c>
      <c r="Q36" s="130">
        <f t="shared" ref="Q36:Q39" si="32">F36/F$40</f>
        <v>0.55850866780771602</v>
      </c>
      <c r="R36" s="130">
        <f t="shared" ref="R36:R39" si="33">G36/G$40</f>
        <v>0.47363049463796375</v>
      </c>
      <c r="S36" s="130">
        <f t="shared" ref="S36:S39" si="34">H36/H$40</f>
        <v>0.48445256175367429</v>
      </c>
      <c r="T36" s="91">
        <f t="shared" ref="T36:T39" si="35">I36/I$40</f>
        <v>0.5091467421816952</v>
      </c>
    </row>
    <row r="37" spans="1:28" s="18" customFormat="1" x14ac:dyDescent="0.35">
      <c r="A37" s="129"/>
      <c r="B37" s="141" t="s">
        <v>200</v>
      </c>
      <c r="C37" s="165">
        <v>32045842.160000008</v>
      </c>
      <c r="D37" s="165">
        <v>34431228.289999992</v>
      </c>
      <c r="E37" s="165">
        <v>30961367.02</v>
      </c>
      <c r="F37" s="165">
        <v>23154618.529999994</v>
      </c>
      <c r="G37" s="165">
        <v>38271305.11999999</v>
      </c>
      <c r="H37" s="165">
        <v>46502131.649999984</v>
      </c>
      <c r="I37" s="166">
        <v>37905250.480000019</v>
      </c>
      <c r="J37" s="6" t="str">
        <f t="shared" si="27"/>
        <v>▼</v>
      </c>
      <c r="K37" s="10">
        <f t="shared" ref="K37:K39" si="36">I37-H37</f>
        <v>-8596881.1699999645</v>
      </c>
      <c r="L37" s="11">
        <f t="shared" ref="L37:L40" si="37">I37/H37-1</f>
        <v>-0.18487069011598667</v>
      </c>
      <c r="N37" s="131">
        <f t="shared" ref="N37:N39" si="38">C37/C$40</f>
        <v>0.16421916508638135</v>
      </c>
      <c r="O37" s="131">
        <f t="shared" si="30"/>
        <v>0.17349140172385041</v>
      </c>
      <c r="P37" s="131">
        <f t="shared" si="31"/>
        <v>0.16839891825587602</v>
      </c>
      <c r="Q37" s="131">
        <f t="shared" si="32"/>
        <v>0.12782263016839826</v>
      </c>
      <c r="R37" s="131">
        <f t="shared" si="33"/>
        <v>0.14456313840433144</v>
      </c>
      <c r="S37" s="131">
        <f t="shared" si="34"/>
        <v>0.1769480408125236</v>
      </c>
      <c r="T37" s="91">
        <f t="shared" si="35"/>
        <v>0.17693646713823782</v>
      </c>
    </row>
    <row r="38" spans="1:28" s="18" customFormat="1" ht="29" x14ac:dyDescent="0.35">
      <c r="A38" s="129"/>
      <c r="B38" s="141" t="s">
        <v>201</v>
      </c>
      <c r="C38" s="167">
        <v>6927091.4000000022</v>
      </c>
      <c r="D38" s="167">
        <v>5402107.4799999995</v>
      </c>
      <c r="E38" s="167">
        <v>5607112.0099999998</v>
      </c>
      <c r="F38" s="167">
        <v>5512011.29</v>
      </c>
      <c r="G38" s="167">
        <v>5831907.4100000001</v>
      </c>
      <c r="H38" s="167">
        <v>9489499.3099999987</v>
      </c>
      <c r="I38" s="168">
        <v>6351216.3600000003</v>
      </c>
      <c r="J38" s="6" t="str">
        <f t="shared" si="27"/>
        <v>▼</v>
      </c>
      <c r="K38" s="10">
        <f t="shared" si="36"/>
        <v>-3138282.9499999983</v>
      </c>
      <c r="L38" s="11">
        <f t="shared" si="37"/>
        <v>-0.33071112052169993</v>
      </c>
      <c r="N38" s="131">
        <f t="shared" si="38"/>
        <v>3.5497933257780633E-2</v>
      </c>
      <c r="O38" s="131">
        <f t="shared" si="30"/>
        <v>2.722003383307408E-2</v>
      </c>
      <c r="P38" s="131">
        <f t="shared" si="31"/>
        <v>3.0497090015876523E-2</v>
      </c>
      <c r="Q38" s="131">
        <f t="shared" si="32"/>
        <v>3.0428477139144042E-2</v>
      </c>
      <c r="R38" s="131">
        <f t="shared" si="33"/>
        <v>2.2029006730488954E-2</v>
      </c>
      <c r="S38" s="131">
        <f t="shared" si="34"/>
        <v>3.6109061060565273E-2</v>
      </c>
      <c r="T38" s="91">
        <f t="shared" si="35"/>
        <v>2.9646599627719383E-2</v>
      </c>
    </row>
    <row r="39" spans="1:28" s="18" customFormat="1" ht="15" thickBot="1" x14ac:dyDescent="0.4">
      <c r="A39" s="129"/>
      <c r="B39" s="141" t="s">
        <v>202</v>
      </c>
      <c r="C39" s="165">
        <v>55011813.029999934</v>
      </c>
      <c r="D39" s="165">
        <v>50074083.759999976</v>
      </c>
      <c r="E39" s="165">
        <v>43941141.789999999</v>
      </c>
      <c r="F39" s="165">
        <v>51307967.540000007</v>
      </c>
      <c r="G39" s="165">
        <v>95246611.829999998</v>
      </c>
      <c r="H39" s="165">
        <v>79494779.260000005</v>
      </c>
      <c r="I39" s="92">
        <v>60899445.830000013</v>
      </c>
      <c r="J39" s="6" t="str">
        <f t="shared" si="27"/>
        <v>▼</v>
      </c>
      <c r="K39" s="10">
        <f t="shared" si="36"/>
        <v>-18595333.429999992</v>
      </c>
      <c r="L39" s="11">
        <f t="shared" si="37"/>
        <v>-0.23391892653957902</v>
      </c>
      <c r="N39" s="131">
        <f t="shared" si="38"/>
        <v>0.28190845977987872</v>
      </c>
      <c r="O39" s="131">
        <f t="shared" si="30"/>
        <v>0.25231231684183092</v>
      </c>
      <c r="P39" s="131">
        <f t="shared" si="31"/>
        <v>0.23899593127086893</v>
      </c>
      <c r="Q39" s="131">
        <f t="shared" si="32"/>
        <v>0.2832402248847416</v>
      </c>
      <c r="R39" s="131">
        <f t="shared" si="33"/>
        <v>0.35977736022721574</v>
      </c>
      <c r="S39" s="131">
        <f t="shared" si="34"/>
        <v>0.3024903363732368</v>
      </c>
      <c r="T39" s="91">
        <f t="shared" si="35"/>
        <v>0.28427019105234752</v>
      </c>
    </row>
    <row r="40" spans="1:28" s="18" customFormat="1" ht="15" thickBot="1" x14ac:dyDescent="0.4">
      <c r="A40" s="74"/>
      <c r="B40" s="19"/>
      <c r="C40" s="19">
        <f>SUM(C36:C39)</f>
        <v>195140695.92999995</v>
      </c>
      <c r="D40" s="20">
        <f t="shared" ref="D40:I40" si="39">SUM(D36:D39)</f>
        <v>198460718.78999996</v>
      </c>
      <c r="E40" s="20">
        <f t="shared" si="39"/>
        <v>183857279.72999999</v>
      </c>
      <c r="F40" s="20">
        <f t="shared" si="39"/>
        <v>181146472.25999999</v>
      </c>
      <c r="G40" s="20">
        <f t="shared" si="39"/>
        <v>264737647.11000001</v>
      </c>
      <c r="H40" s="20">
        <f t="shared" si="39"/>
        <v>262801054.12</v>
      </c>
      <c r="I40" s="88">
        <f t="shared" si="39"/>
        <v>214230854.12000009</v>
      </c>
      <c r="J40" s="50" t="str">
        <f t="shared" si="27"/>
        <v>▼</v>
      </c>
      <c r="K40" s="41">
        <f>I40-H40</f>
        <v>-48570199.999999911</v>
      </c>
      <c r="L40" s="14">
        <f t="shared" si="37"/>
        <v>-0.18481737131016918</v>
      </c>
      <c r="N40" s="28">
        <f>SUM(N36:N39)</f>
        <v>1</v>
      </c>
      <c r="O40" s="28">
        <f t="shared" ref="O40:T40" si="40">SUM(O36:O39)</f>
        <v>1.0000000000000002</v>
      </c>
      <c r="P40" s="29">
        <f t="shared" si="40"/>
        <v>1</v>
      </c>
      <c r="Q40" s="29">
        <f t="shared" si="40"/>
        <v>1</v>
      </c>
      <c r="R40" s="29">
        <f t="shared" si="40"/>
        <v>0.99999999999999989</v>
      </c>
      <c r="S40" s="29">
        <f t="shared" si="40"/>
        <v>1</v>
      </c>
      <c r="T40" s="90">
        <f t="shared" si="40"/>
        <v>1</v>
      </c>
    </row>
    <row r="41" spans="1:28" s="18" customFormat="1" x14ac:dyDescent="0.35">
      <c r="A41" s="74"/>
      <c r="B41" s="74"/>
      <c r="C41" s="74">
        <f>C40-C31</f>
        <v>0</v>
      </c>
      <c r="D41" s="74">
        <f t="shared" ref="D41:I41" si="41">D40-D31</f>
        <v>0</v>
      </c>
      <c r="E41" s="74">
        <f t="shared" si="41"/>
        <v>0</v>
      </c>
      <c r="F41" s="74">
        <f t="shared" si="41"/>
        <v>0</v>
      </c>
      <c r="G41" s="74">
        <f t="shared" si="41"/>
        <v>0</v>
      </c>
      <c r="H41" s="74">
        <f t="shared" si="41"/>
        <v>0</v>
      </c>
      <c r="I41" s="74">
        <f t="shared" si="41"/>
        <v>0</v>
      </c>
      <c r="J41" s="75"/>
      <c r="K41" s="76"/>
      <c r="L41" s="77"/>
      <c r="S41" s="32"/>
    </row>
    <row r="42" spans="1:28" x14ac:dyDescent="0.35">
      <c r="A42" s="24" t="s">
        <v>60</v>
      </c>
      <c r="B42" s="215" t="s">
        <v>235</v>
      </c>
      <c r="I42" s="32"/>
      <c r="L42" s="132"/>
    </row>
    <row r="43" spans="1:28" ht="15" thickBot="1" x14ac:dyDescent="0.4">
      <c r="E43" s="81"/>
      <c r="F43" s="81"/>
      <c r="G43" s="81"/>
      <c r="H43" s="81"/>
      <c r="I43" s="81"/>
    </row>
    <row r="44" spans="1:28" s="135" customFormat="1" ht="15" thickBot="1" x14ac:dyDescent="0.4">
      <c r="A44" s="30" t="s">
        <v>0</v>
      </c>
      <c r="B44" s="133" t="s">
        <v>22</v>
      </c>
      <c r="C44" s="134">
        <f>C35</f>
        <v>2017</v>
      </c>
      <c r="D44" s="134">
        <f t="shared" ref="D44:I44" si="42">D35</f>
        <v>2018</v>
      </c>
      <c r="E44" s="134">
        <f t="shared" si="42"/>
        <v>2019</v>
      </c>
      <c r="F44" s="134">
        <f t="shared" si="42"/>
        <v>2020</v>
      </c>
      <c r="G44" s="134">
        <f t="shared" si="42"/>
        <v>2021</v>
      </c>
      <c r="H44" s="134">
        <f t="shared" si="42"/>
        <v>2022</v>
      </c>
      <c r="I44" s="134">
        <f t="shared" si="42"/>
        <v>2023</v>
      </c>
      <c r="J44" s="242" t="str">
        <f>CONCATENATE(I44," vs. ",H44)</f>
        <v>2023 vs. 2022</v>
      </c>
      <c r="K44" s="242"/>
      <c r="L44" s="242"/>
      <c r="S44" s="136"/>
    </row>
    <row r="45" spans="1:28" x14ac:dyDescent="0.35">
      <c r="A45" s="5" t="s">
        <v>47</v>
      </c>
      <c r="B45" s="96" t="s">
        <v>48</v>
      </c>
      <c r="C45" s="6">
        <v>2825883</v>
      </c>
      <c r="D45" s="6">
        <v>2255686.11</v>
      </c>
      <c r="E45" s="6">
        <v>1865024.04</v>
      </c>
      <c r="F45" s="6">
        <v>1705120</v>
      </c>
      <c r="G45" s="6">
        <v>2199955</v>
      </c>
      <c r="H45" s="6">
        <v>2247585</v>
      </c>
      <c r="I45" s="92">
        <v>2190008</v>
      </c>
      <c r="J45" s="6" t="str">
        <f t="shared" ref="J45:J47" si="43">IF(I45+H45&gt;0,IF(I45&gt;H45,"▲",IF(I45=H45,"▬","▼")),IF(I45&gt;H45,"▼",IF(I45=H45,"▬","▲")))</f>
        <v>▼</v>
      </c>
      <c r="K45" s="22">
        <f t="shared" ref="K45:K47" si="44">I45-H45</f>
        <v>-57577</v>
      </c>
      <c r="L45" s="11">
        <f t="shared" ref="L45:L47" si="45">I45/H45-1</f>
        <v>-2.5617273651497019E-2</v>
      </c>
    </row>
    <row r="46" spans="1:28" ht="15" thickBot="1" x14ac:dyDescent="0.4">
      <c r="A46" s="5" t="s">
        <v>49</v>
      </c>
      <c r="B46" s="53" t="s">
        <v>243</v>
      </c>
      <c r="C46" s="6">
        <v>2264435.7599999998</v>
      </c>
      <c r="D46" s="6">
        <v>2263168.92</v>
      </c>
      <c r="E46" s="6">
        <v>2275212.77</v>
      </c>
      <c r="F46" s="6">
        <v>2262430.7799999998</v>
      </c>
      <c r="G46" s="6">
        <v>2259451</v>
      </c>
      <c r="H46" s="6">
        <v>2206664</v>
      </c>
      <c r="I46" s="92">
        <v>2113978</v>
      </c>
      <c r="J46" s="6" t="str">
        <f t="shared" si="43"/>
        <v>▼</v>
      </c>
      <c r="K46" s="22">
        <f t="shared" si="44"/>
        <v>-92686</v>
      </c>
      <c r="L46" s="11">
        <f t="shared" si="45"/>
        <v>-4.200276979186679E-2</v>
      </c>
    </row>
    <row r="47" spans="1:28" ht="15" thickBot="1" x14ac:dyDescent="0.4">
      <c r="A47" s="9" t="s">
        <v>57</v>
      </c>
      <c r="B47" s="9"/>
      <c r="C47" s="9">
        <f t="shared" ref="C47:I47" si="46">SUM(C45:C46)</f>
        <v>5090318.76</v>
      </c>
      <c r="D47" s="13">
        <f t="shared" si="46"/>
        <v>4518855.0299999993</v>
      </c>
      <c r="E47" s="13">
        <f t="shared" si="46"/>
        <v>4140236.81</v>
      </c>
      <c r="F47" s="13">
        <f t="shared" si="46"/>
        <v>3967550.78</v>
      </c>
      <c r="G47" s="13">
        <f t="shared" si="46"/>
        <v>4459406</v>
      </c>
      <c r="H47" s="13">
        <f t="shared" si="46"/>
        <v>4454249</v>
      </c>
      <c r="I47" s="88">
        <f t="shared" si="46"/>
        <v>4303986</v>
      </c>
      <c r="J47" s="50" t="str">
        <f t="shared" si="43"/>
        <v>▼</v>
      </c>
      <c r="K47" s="23">
        <f t="shared" si="44"/>
        <v>-150263</v>
      </c>
      <c r="L47" s="14">
        <f t="shared" si="45"/>
        <v>-3.3734755286469187E-2</v>
      </c>
    </row>
    <row r="48" spans="1:28" x14ac:dyDescent="0.35">
      <c r="C48" s="124">
        <f t="shared" ref="C48:I48" si="47">C47-C5</f>
        <v>-0.4599999999627471</v>
      </c>
      <c r="D48" s="124">
        <f t="shared" si="47"/>
        <v>0</v>
      </c>
      <c r="E48" s="124">
        <f t="shared" si="47"/>
        <v>0</v>
      </c>
      <c r="F48" s="124">
        <f t="shared" si="47"/>
        <v>0.5</v>
      </c>
      <c r="G48" s="124">
        <f t="shared" si="47"/>
        <v>0</v>
      </c>
      <c r="H48" s="124">
        <f t="shared" si="47"/>
        <v>0</v>
      </c>
      <c r="I48" s="124">
        <f t="shared" si="47"/>
        <v>0</v>
      </c>
    </row>
    <row r="50" spans="2:12" x14ac:dyDescent="0.35">
      <c r="B50" s="215" t="s">
        <v>236</v>
      </c>
      <c r="I50" s="32"/>
      <c r="L50" s="132"/>
    </row>
    <row r="52" spans="2:12" x14ac:dyDescent="0.35">
      <c r="B52" s="133" t="s">
        <v>22</v>
      </c>
      <c r="C52" s="134">
        <f>C44</f>
        <v>2017</v>
      </c>
      <c r="D52" s="134">
        <f t="shared" ref="D52:I52" si="48">D44</f>
        <v>2018</v>
      </c>
      <c r="E52" s="134">
        <f t="shared" si="48"/>
        <v>2019</v>
      </c>
      <c r="F52" s="134">
        <f t="shared" si="48"/>
        <v>2020</v>
      </c>
      <c r="G52" s="134">
        <f t="shared" si="48"/>
        <v>2021</v>
      </c>
      <c r="H52" s="134">
        <f t="shared" si="48"/>
        <v>2022</v>
      </c>
      <c r="I52" s="134">
        <f t="shared" si="48"/>
        <v>2023</v>
      </c>
      <c r="J52" s="242" t="str">
        <f>CONCATENATE(I52," vs. ",H52)</f>
        <v>2023 vs. 2022</v>
      </c>
      <c r="K52" s="242"/>
      <c r="L52" s="242"/>
    </row>
    <row r="53" spans="2:12" x14ac:dyDescent="0.35">
      <c r="B53" s="96" t="s">
        <v>50</v>
      </c>
      <c r="C53" s="6">
        <v>3652</v>
      </c>
      <c r="D53" s="6">
        <v>91386.900000000009</v>
      </c>
      <c r="E53" s="6">
        <v>86398.37</v>
      </c>
      <c r="F53" s="6">
        <v>105139</v>
      </c>
      <c r="G53" s="6">
        <v>128719</v>
      </c>
      <c r="H53" s="6">
        <v>316730</v>
      </c>
      <c r="I53" s="92">
        <v>983890</v>
      </c>
      <c r="J53" s="6" t="str">
        <f t="shared" ref="J53:J62" si="49">IF(I53+H53&gt;0,IF(I53&gt;H53,"▲",IF(I53=H53,"▬","▼")),IF(I53&gt;H53,"▼",IF(I53=H53,"▬","▲")))</f>
        <v>▲</v>
      </c>
      <c r="K53" s="22">
        <f t="shared" ref="K53:K62" si="50">I53-H53</f>
        <v>667160</v>
      </c>
      <c r="L53" s="11">
        <f t="shared" ref="L53" si="51">I53/H53-1</f>
        <v>2.1063997726770434</v>
      </c>
    </row>
    <row r="54" spans="2:12" x14ac:dyDescent="0.35">
      <c r="B54" s="96" t="s">
        <v>242</v>
      </c>
      <c r="C54" s="6">
        <v>0</v>
      </c>
      <c r="D54" s="6">
        <v>114221</v>
      </c>
      <c r="E54" s="6">
        <v>0</v>
      </c>
      <c r="F54" s="6">
        <v>0</v>
      </c>
      <c r="G54" s="6">
        <v>0</v>
      </c>
      <c r="H54" s="6">
        <v>274153</v>
      </c>
      <c r="I54" s="92">
        <v>2402662</v>
      </c>
      <c r="J54" s="6" t="str">
        <f t="shared" ref="J54:J55" si="52">IF(I54+H54&gt;0,IF(I54&gt;H54,"▲",IF(I54=H54,"▬","▼")),IF(I54&gt;H54,"▼",IF(I54=H54,"▬","▲")))</f>
        <v>▲</v>
      </c>
      <c r="K54" s="22">
        <f t="shared" ref="K54:K55" si="53">I54-H54</f>
        <v>2128509</v>
      </c>
      <c r="L54" s="11">
        <f t="shared" ref="L54" si="54">I54/H54-1</f>
        <v>7.7639456799670263</v>
      </c>
    </row>
    <row r="55" spans="2:12" x14ac:dyDescent="0.35">
      <c r="B55" s="96" t="s">
        <v>249</v>
      </c>
      <c r="C55" s="6"/>
      <c r="D55" s="6"/>
      <c r="E55" s="6"/>
      <c r="F55" s="6"/>
      <c r="G55" s="6"/>
      <c r="H55" s="6"/>
      <c r="I55" s="92">
        <v>57882</v>
      </c>
      <c r="J55" s="6" t="str">
        <f t="shared" si="52"/>
        <v>▲</v>
      </c>
      <c r="K55" s="22">
        <f t="shared" si="53"/>
        <v>57882</v>
      </c>
      <c r="L55" s="11"/>
    </row>
    <row r="56" spans="2:12" x14ac:dyDescent="0.35">
      <c r="B56" s="152" t="s">
        <v>51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53" t="str">
        <f t="shared" si="49"/>
        <v>▬</v>
      </c>
      <c r="K56" s="154">
        <f t="shared" si="50"/>
        <v>0</v>
      </c>
      <c r="L56" s="155"/>
    </row>
    <row r="57" spans="2:12" x14ac:dyDescent="0.35">
      <c r="B57" s="152" t="s">
        <v>52</v>
      </c>
      <c r="C57" s="169">
        <v>0</v>
      </c>
      <c r="D57" s="169">
        <v>0</v>
      </c>
      <c r="E57" s="169">
        <v>0</v>
      </c>
      <c r="F57" s="169">
        <v>0</v>
      </c>
      <c r="G57" s="169">
        <v>0</v>
      </c>
      <c r="H57" s="169">
        <v>46745700</v>
      </c>
      <c r="I57" s="169">
        <v>0</v>
      </c>
      <c r="J57" s="153" t="str">
        <f t="shared" si="49"/>
        <v>▼</v>
      </c>
      <c r="K57" s="154">
        <f t="shared" si="50"/>
        <v>-46745700</v>
      </c>
      <c r="L57" s="155"/>
    </row>
    <row r="58" spans="2:12" x14ac:dyDescent="0.35">
      <c r="B58" s="152" t="s">
        <v>53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53" t="str">
        <f t="shared" si="49"/>
        <v>▬</v>
      </c>
      <c r="K58" s="154">
        <f t="shared" si="50"/>
        <v>0</v>
      </c>
      <c r="L58" s="155"/>
    </row>
    <row r="59" spans="2:12" x14ac:dyDescent="0.35">
      <c r="B59" s="152" t="s">
        <v>54</v>
      </c>
      <c r="C59" s="169">
        <v>157997.23000000001</v>
      </c>
      <c r="D59" s="169">
        <v>117360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53" t="str">
        <f t="shared" si="49"/>
        <v>▬</v>
      </c>
      <c r="K59" s="154">
        <f t="shared" si="50"/>
        <v>0</v>
      </c>
      <c r="L59" s="155"/>
    </row>
    <row r="60" spans="2:12" x14ac:dyDescent="0.35">
      <c r="B60" s="152" t="s">
        <v>55</v>
      </c>
      <c r="C60" s="169">
        <v>1000000</v>
      </c>
      <c r="D60" s="169">
        <v>1000000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53" t="str">
        <f t="shared" si="49"/>
        <v>▬</v>
      </c>
      <c r="K60" s="154">
        <f t="shared" si="50"/>
        <v>0</v>
      </c>
      <c r="L60" s="155"/>
    </row>
    <row r="61" spans="2:12" ht="15" thickBot="1" x14ac:dyDescent="0.4">
      <c r="B61" s="152" t="s">
        <v>56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53" t="str">
        <f t="shared" si="49"/>
        <v>▬</v>
      </c>
      <c r="K61" s="154">
        <f t="shared" si="50"/>
        <v>0</v>
      </c>
      <c r="L61" s="155"/>
    </row>
    <row r="62" spans="2:12" ht="15" thickBot="1" x14ac:dyDescent="0.4">
      <c r="B62" s="9"/>
      <c r="C62" s="9">
        <f t="shared" ref="C62:I62" si="55">SUM(C53:C61)</f>
        <v>1161649.23</v>
      </c>
      <c r="D62" s="13">
        <f t="shared" si="55"/>
        <v>1322967.8999999999</v>
      </c>
      <c r="E62" s="13">
        <f t="shared" si="55"/>
        <v>86398.37</v>
      </c>
      <c r="F62" s="13">
        <f t="shared" si="55"/>
        <v>105139</v>
      </c>
      <c r="G62" s="13">
        <f t="shared" si="55"/>
        <v>128719</v>
      </c>
      <c r="H62" s="13">
        <f t="shared" si="55"/>
        <v>47336583</v>
      </c>
      <c r="I62" s="88">
        <f t="shared" si="55"/>
        <v>3444434</v>
      </c>
      <c r="J62" s="50" t="str">
        <f t="shared" si="49"/>
        <v>▼</v>
      </c>
      <c r="K62" s="23">
        <f t="shared" si="50"/>
        <v>-43892149</v>
      </c>
      <c r="L62" s="14">
        <f t="shared" ref="L62" si="56">I62/H62-1</f>
        <v>-0.92723526326351013</v>
      </c>
    </row>
    <row r="63" spans="2:12" x14ac:dyDescent="0.35">
      <c r="C63" s="124">
        <f t="shared" ref="C63:I63" si="57">C62-C13</f>
        <v>-0.63999999989755452</v>
      </c>
      <c r="D63" s="124">
        <f t="shared" si="57"/>
        <v>0.30000000004656613</v>
      </c>
      <c r="E63" s="124">
        <f t="shared" si="57"/>
        <v>0</v>
      </c>
      <c r="F63" s="124">
        <f t="shared" si="57"/>
        <v>-8.000000000174623E-2</v>
      </c>
      <c r="G63" s="124">
        <f t="shared" si="57"/>
        <v>0</v>
      </c>
      <c r="H63" s="124">
        <f t="shared" si="57"/>
        <v>0</v>
      </c>
      <c r="I63" s="124">
        <f t="shared" si="57"/>
        <v>0</v>
      </c>
    </row>
    <row r="64" spans="2:12" x14ac:dyDescent="0.35">
      <c r="B64" s="24" t="s">
        <v>69</v>
      </c>
    </row>
    <row r="66" spans="2:2" x14ac:dyDescent="0.35">
      <c r="B66" s="53" t="s">
        <v>237</v>
      </c>
    </row>
  </sheetData>
  <mergeCells count="8">
    <mergeCell ref="J52:L52"/>
    <mergeCell ref="B33:C33"/>
    <mergeCell ref="V33:W33"/>
    <mergeCell ref="X33:AB33"/>
    <mergeCell ref="J3:L3"/>
    <mergeCell ref="J44:L44"/>
    <mergeCell ref="J25:L25"/>
    <mergeCell ref="J35:L35"/>
  </mergeCells>
  <conditionalFormatting sqref="B12">
    <cfRule type="duplicateValues" dxfId="20" priority="9"/>
  </conditionalFormatting>
  <conditionalFormatting sqref="B13 B4:B11 B15">
    <cfRule type="duplicateValues" dxfId="19" priority="25"/>
  </conditionalFormatting>
  <conditionalFormatting sqref="B14">
    <cfRule type="duplicateValues" dxfId="18" priority="1"/>
  </conditionalFormatting>
  <conditionalFormatting sqref="B16">
    <cfRule type="duplicateValues" dxfId="17" priority="13"/>
  </conditionalFormatting>
  <conditionalFormatting sqref="B18">
    <cfRule type="duplicateValues" dxfId="16" priority="17"/>
  </conditionalFormatting>
  <conditionalFormatting sqref="B21">
    <cfRule type="duplicateValues" dxfId="15" priority="5"/>
  </conditionalFormatting>
  <conditionalFormatting sqref="J4:J21">
    <cfRule type="expression" dxfId="14" priority="2">
      <formula>I4=H4</formula>
    </cfRule>
    <cfRule type="expression" dxfId="13" priority="3">
      <formula>I4&lt;H4</formula>
    </cfRule>
    <cfRule type="expression" dxfId="12" priority="4">
      <formula>I4&gt;H4</formula>
    </cfRule>
  </conditionalFormatting>
  <conditionalFormatting sqref="J26:J31">
    <cfRule type="expression" dxfId="11" priority="44">
      <formula>I26=H26</formula>
    </cfRule>
    <cfRule type="expression" dxfId="10" priority="45">
      <formula>I26&lt;H26</formula>
    </cfRule>
    <cfRule type="expression" dxfId="9" priority="46">
      <formula>I26&gt;H26</formula>
    </cfRule>
  </conditionalFormatting>
  <conditionalFormatting sqref="J36:J40">
    <cfRule type="expression" dxfId="8" priority="32">
      <formula>I36=H36</formula>
    </cfRule>
    <cfRule type="expression" dxfId="7" priority="33">
      <formula>I36&lt;H36</formula>
    </cfRule>
    <cfRule type="expression" dxfId="6" priority="34">
      <formula>I36&gt;H36</formula>
    </cfRule>
  </conditionalFormatting>
  <conditionalFormatting sqref="J45:J47">
    <cfRule type="expression" dxfId="5" priority="38">
      <formula>I45=H45</formula>
    </cfRule>
    <cfRule type="expression" dxfId="4" priority="39">
      <formula>I45&lt;H45</formula>
    </cfRule>
    <cfRule type="expression" dxfId="3" priority="40">
      <formula>I45&gt;H45</formula>
    </cfRule>
  </conditionalFormatting>
  <conditionalFormatting sqref="J53:J62">
    <cfRule type="expression" dxfId="2" priority="26">
      <formula>I53=H53</formula>
    </cfRule>
    <cfRule type="expression" dxfId="1" priority="27">
      <formula>I53&lt;H53</formula>
    </cfRule>
    <cfRule type="expression" dxfId="0" priority="28">
      <formula>I53&gt;H53</formula>
    </cfRule>
  </conditionalFormatting>
  <dataValidations count="1">
    <dataValidation type="list" allowBlank="1" showInputMessage="1" showErrorMessage="1" sqref="X33:AB33" xr:uid="{65AEC2E4-918C-4530-8C41-22F52351A7AF}">
      <formula1>list9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8"/>
  <sheetViews>
    <sheetView zoomScale="80" zoomScaleNormal="80" workbookViewId="0">
      <pane xSplit="1" ySplit="3" topLeftCell="B4" activePane="bottomRight" state="frozen"/>
      <selection activeCell="B1" sqref="B1"/>
      <selection pane="topRight" activeCell="C1" sqref="C1"/>
      <selection pane="bottomLeft" activeCell="B4" sqref="B4"/>
      <selection pane="bottomRight" activeCell="M11" sqref="M11"/>
    </sheetView>
  </sheetViews>
  <sheetFormatPr defaultRowHeight="14.5" x14ac:dyDescent="0.35"/>
  <cols>
    <col min="1" max="1" width="50.7265625" style="143" customWidth="1"/>
    <col min="2" max="2" width="64" style="143" customWidth="1"/>
    <col min="3" max="3" width="13.453125" style="144" bestFit="1" customWidth="1"/>
    <col min="4" max="4" width="13.36328125" style="144" bestFit="1" customWidth="1"/>
    <col min="5" max="8" width="12.90625" style="144" bestFit="1" customWidth="1"/>
    <col min="9" max="9" width="13.08984375" style="144" bestFit="1" customWidth="1"/>
    <col min="10" max="231" width="8.90625" style="145"/>
    <col min="232" max="232" width="56.36328125" style="145" customWidth="1"/>
    <col min="233" max="233" width="65" style="145" bestFit="1" customWidth="1"/>
    <col min="234" max="234" width="12.54296875" style="145" bestFit="1" customWidth="1"/>
    <col min="235" max="235" width="11.54296875" style="145" bestFit="1" customWidth="1"/>
    <col min="236" max="236" width="12.36328125" style="145" bestFit="1" customWidth="1"/>
    <col min="237" max="238" width="11.54296875" style="145" bestFit="1" customWidth="1"/>
    <col min="239" max="239" width="2.453125" style="145" customWidth="1"/>
    <col min="240" max="487" width="8.90625" style="145"/>
    <col min="488" max="488" width="56.36328125" style="145" customWidth="1"/>
    <col min="489" max="489" width="65" style="145" bestFit="1" customWidth="1"/>
    <col min="490" max="490" width="12.54296875" style="145" bestFit="1" customWidth="1"/>
    <col min="491" max="491" width="11.54296875" style="145" bestFit="1" customWidth="1"/>
    <col min="492" max="492" width="12.36328125" style="145" bestFit="1" customWidth="1"/>
    <col min="493" max="494" width="11.54296875" style="145" bestFit="1" customWidth="1"/>
    <col min="495" max="495" width="2.453125" style="145" customWidth="1"/>
    <col min="496" max="743" width="8.90625" style="145"/>
    <col min="744" max="744" width="56.36328125" style="145" customWidth="1"/>
    <col min="745" max="745" width="65" style="145" bestFit="1" customWidth="1"/>
    <col min="746" max="746" width="12.54296875" style="145" bestFit="1" customWidth="1"/>
    <col min="747" max="747" width="11.54296875" style="145" bestFit="1" customWidth="1"/>
    <col min="748" max="748" width="12.36328125" style="145" bestFit="1" customWidth="1"/>
    <col min="749" max="750" width="11.54296875" style="145" bestFit="1" customWidth="1"/>
    <col min="751" max="751" width="2.453125" style="145" customWidth="1"/>
    <col min="752" max="999" width="8.90625" style="145"/>
    <col min="1000" max="1000" width="56.36328125" style="145" customWidth="1"/>
    <col min="1001" max="1001" width="65" style="145" bestFit="1" customWidth="1"/>
    <col min="1002" max="1002" width="12.54296875" style="145" bestFit="1" customWidth="1"/>
    <col min="1003" max="1003" width="11.54296875" style="145" bestFit="1" customWidth="1"/>
    <col min="1004" max="1004" width="12.36328125" style="145" bestFit="1" customWidth="1"/>
    <col min="1005" max="1006" width="11.54296875" style="145" bestFit="1" customWidth="1"/>
    <col min="1007" max="1007" width="2.453125" style="145" customWidth="1"/>
    <col min="1008" max="1255" width="8.90625" style="145"/>
    <col min="1256" max="1256" width="56.36328125" style="145" customWidth="1"/>
    <col min="1257" max="1257" width="65" style="145" bestFit="1" customWidth="1"/>
    <col min="1258" max="1258" width="12.54296875" style="145" bestFit="1" customWidth="1"/>
    <col min="1259" max="1259" width="11.54296875" style="145" bestFit="1" customWidth="1"/>
    <col min="1260" max="1260" width="12.36328125" style="145" bestFit="1" customWidth="1"/>
    <col min="1261" max="1262" width="11.54296875" style="145" bestFit="1" customWidth="1"/>
    <col min="1263" max="1263" width="2.453125" style="145" customWidth="1"/>
    <col min="1264" max="1511" width="8.90625" style="145"/>
    <col min="1512" max="1512" width="56.36328125" style="145" customWidth="1"/>
    <col min="1513" max="1513" width="65" style="145" bestFit="1" customWidth="1"/>
    <col min="1514" max="1514" width="12.54296875" style="145" bestFit="1" customWidth="1"/>
    <col min="1515" max="1515" width="11.54296875" style="145" bestFit="1" customWidth="1"/>
    <col min="1516" max="1516" width="12.36328125" style="145" bestFit="1" customWidth="1"/>
    <col min="1517" max="1518" width="11.54296875" style="145" bestFit="1" customWidth="1"/>
    <col min="1519" max="1519" width="2.453125" style="145" customWidth="1"/>
    <col min="1520" max="1767" width="8.90625" style="145"/>
    <col min="1768" max="1768" width="56.36328125" style="145" customWidth="1"/>
    <col min="1769" max="1769" width="65" style="145" bestFit="1" customWidth="1"/>
    <col min="1770" max="1770" width="12.54296875" style="145" bestFit="1" customWidth="1"/>
    <col min="1771" max="1771" width="11.54296875" style="145" bestFit="1" customWidth="1"/>
    <col min="1772" max="1772" width="12.36328125" style="145" bestFit="1" customWidth="1"/>
    <col min="1773" max="1774" width="11.54296875" style="145" bestFit="1" customWidth="1"/>
    <col min="1775" max="1775" width="2.453125" style="145" customWidth="1"/>
    <col min="1776" max="2023" width="8.90625" style="145"/>
    <col min="2024" max="2024" width="56.36328125" style="145" customWidth="1"/>
    <col min="2025" max="2025" width="65" style="145" bestFit="1" customWidth="1"/>
    <col min="2026" max="2026" width="12.54296875" style="145" bestFit="1" customWidth="1"/>
    <col min="2027" max="2027" width="11.54296875" style="145" bestFit="1" customWidth="1"/>
    <col min="2028" max="2028" width="12.36328125" style="145" bestFit="1" customWidth="1"/>
    <col min="2029" max="2030" width="11.54296875" style="145" bestFit="1" customWidth="1"/>
    <col min="2031" max="2031" width="2.453125" style="145" customWidth="1"/>
    <col min="2032" max="2279" width="8.90625" style="145"/>
    <col min="2280" max="2280" width="56.36328125" style="145" customWidth="1"/>
    <col min="2281" max="2281" width="65" style="145" bestFit="1" customWidth="1"/>
    <col min="2282" max="2282" width="12.54296875" style="145" bestFit="1" customWidth="1"/>
    <col min="2283" max="2283" width="11.54296875" style="145" bestFit="1" customWidth="1"/>
    <col min="2284" max="2284" width="12.36328125" style="145" bestFit="1" customWidth="1"/>
    <col min="2285" max="2286" width="11.54296875" style="145" bestFit="1" customWidth="1"/>
    <col min="2287" max="2287" width="2.453125" style="145" customWidth="1"/>
    <col min="2288" max="2535" width="8.90625" style="145"/>
    <col min="2536" max="2536" width="56.36328125" style="145" customWidth="1"/>
    <col min="2537" max="2537" width="65" style="145" bestFit="1" customWidth="1"/>
    <col min="2538" max="2538" width="12.54296875" style="145" bestFit="1" customWidth="1"/>
    <col min="2539" max="2539" width="11.54296875" style="145" bestFit="1" customWidth="1"/>
    <col min="2540" max="2540" width="12.36328125" style="145" bestFit="1" customWidth="1"/>
    <col min="2541" max="2542" width="11.54296875" style="145" bestFit="1" customWidth="1"/>
    <col min="2543" max="2543" width="2.453125" style="145" customWidth="1"/>
    <col min="2544" max="2791" width="8.90625" style="145"/>
    <col min="2792" max="2792" width="56.36328125" style="145" customWidth="1"/>
    <col min="2793" max="2793" width="65" style="145" bestFit="1" customWidth="1"/>
    <col min="2794" max="2794" width="12.54296875" style="145" bestFit="1" customWidth="1"/>
    <col min="2795" max="2795" width="11.54296875" style="145" bestFit="1" customWidth="1"/>
    <col min="2796" max="2796" width="12.36328125" style="145" bestFit="1" customWidth="1"/>
    <col min="2797" max="2798" width="11.54296875" style="145" bestFit="1" customWidth="1"/>
    <col min="2799" max="2799" width="2.453125" style="145" customWidth="1"/>
    <col min="2800" max="3047" width="8.90625" style="145"/>
    <col min="3048" max="3048" width="56.36328125" style="145" customWidth="1"/>
    <col min="3049" max="3049" width="65" style="145" bestFit="1" customWidth="1"/>
    <col min="3050" max="3050" width="12.54296875" style="145" bestFit="1" customWidth="1"/>
    <col min="3051" max="3051" width="11.54296875" style="145" bestFit="1" customWidth="1"/>
    <col min="3052" max="3052" width="12.36328125" style="145" bestFit="1" customWidth="1"/>
    <col min="3053" max="3054" width="11.54296875" style="145" bestFit="1" customWidth="1"/>
    <col min="3055" max="3055" width="2.453125" style="145" customWidth="1"/>
    <col min="3056" max="3303" width="8.90625" style="145"/>
    <col min="3304" max="3304" width="56.36328125" style="145" customWidth="1"/>
    <col min="3305" max="3305" width="65" style="145" bestFit="1" customWidth="1"/>
    <col min="3306" max="3306" width="12.54296875" style="145" bestFit="1" customWidth="1"/>
    <col min="3307" max="3307" width="11.54296875" style="145" bestFit="1" customWidth="1"/>
    <col min="3308" max="3308" width="12.36328125" style="145" bestFit="1" customWidth="1"/>
    <col min="3309" max="3310" width="11.54296875" style="145" bestFit="1" customWidth="1"/>
    <col min="3311" max="3311" width="2.453125" style="145" customWidth="1"/>
    <col min="3312" max="3559" width="8.90625" style="145"/>
    <col min="3560" max="3560" width="56.36328125" style="145" customWidth="1"/>
    <col min="3561" max="3561" width="65" style="145" bestFit="1" customWidth="1"/>
    <col min="3562" max="3562" width="12.54296875" style="145" bestFit="1" customWidth="1"/>
    <col min="3563" max="3563" width="11.54296875" style="145" bestFit="1" customWidth="1"/>
    <col min="3564" max="3564" width="12.36328125" style="145" bestFit="1" customWidth="1"/>
    <col min="3565" max="3566" width="11.54296875" style="145" bestFit="1" customWidth="1"/>
    <col min="3567" max="3567" width="2.453125" style="145" customWidth="1"/>
    <col min="3568" max="3815" width="8.90625" style="145"/>
    <col min="3816" max="3816" width="56.36328125" style="145" customWidth="1"/>
    <col min="3817" max="3817" width="65" style="145" bestFit="1" customWidth="1"/>
    <col min="3818" max="3818" width="12.54296875" style="145" bestFit="1" customWidth="1"/>
    <col min="3819" max="3819" width="11.54296875" style="145" bestFit="1" customWidth="1"/>
    <col min="3820" max="3820" width="12.36328125" style="145" bestFit="1" customWidth="1"/>
    <col min="3821" max="3822" width="11.54296875" style="145" bestFit="1" customWidth="1"/>
    <col min="3823" max="3823" width="2.453125" style="145" customWidth="1"/>
    <col min="3824" max="4071" width="8.90625" style="145"/>
    <col min="4072" max="4072" width="56.36328125" style="145" customWidth="1"/>
    <col min="4073" max="4073" width="65" style="145" bestFit="1" customWidth="1"/>
    <col min="4074" max="4074" width="12.54296875" style="145" bestFit="1" customWidth="1"/>
    <col min="4075" max="4075" width="11.54296875" style="145" bestFit="1" customWidth="1"/>
    <col min="4076" max="4076" width="12.36328125" style="145" bestFit="1" customWidth="1"/>
    <col min="4077" max="4078" width="11.54296875" style="145" bestFit="1" customWidth="1"/>
    <col min="4079" max="4079" width="2.453125" style="145" customWidth="1"/>
    <col min="4080" max="4327" width="8.90625" style="145"/>
    <col min="4328" max="4328" width="56.36328125" style="145" customWidth="1"/>
    <col min="4329" max="4329" width="65" style="145" bestFit="1" customWidth="1"/>
    <col min="4330" max="4330" width="12.54296875" style="145" bestFit="1" customWidth="1"/>
    <col min="4331" max="4331" width="11.54296875" style="145" bestFit="1" customWidth="1"/>
    <col min="4332" max="4332" width="12.36328125" style="145" bestFit="1" customWidth="1"/>
    <col min="4333" max="4334" width="11.54296875" style="145" bestFit="1" customWidth="1"/>
    <col min="4335" max="4335" width="2.453125" style="145" customWidth="1"/>
    <col min="4336" max="4583" width="8.90625" style="145"/>
    <col min="4584" max="4584" width="56.36328125" style="145" customWidth="1"/>
    <col min="4585" max="4585" width="65" style="145" bestFit="1" customWidth="1"/>
    <col min="4586" max="4586" width="12.54296875" style="145" bestFit="1" customWidth="1"/>
    <col min="4587" max="4587" width="11.54296875" style="145" bestFit="1" customWidth="1"/>
    <col min="4588" max="4588" width="12.36328125" style="145" bestFit="1" customWidth="1"/>
    <col min="4589" max="4590" width="11.54296875" style="145" bestFit="1" customWidth="1"/>
    <col min="4591" max="4591" width="2.453125" style="145" customWidth="1"/>
    <col min="4592" max="4839" width="8.90625" style="145"/>
    <col min="4840" max="4840" width="56.36328125" style="145" customWidth="1"/>
    <col min="4841" max="4841" width="65" style="145" bestFit="1" customWidth="1"/>
    <col min="4842" max="4842" width="12.54296875" style="145" bestFit="1" customWidth="1"/>
    <col min="4843" max="4843" width="11.54296875" style="145" bestFit="1" customWidth="1"/>
    <col min="4844" max="4844" width="12.36328125" style="145" bestFit="1" customWidth="1"/>
    <col min="4845" max="4846" width="11.54296875" style="145" bestFit="1" customWidth="1"/>
    <col min="4847" max="4847" width="2.453125" style="145" customWidth="1"/>
    <col min="4848" max="5095" width="8.90625" style="145"/>
    <col min="5096" max="5096" width="56.36328125" style="145" customWidth="1"/>
    <col min="5097" max="5097" width="65" style="145" bestFit="1" customWidth="1"/>
    <col min="5098" max="5098" width="12.54296875" style="145" bestFit="1" customWidth="1"/>
    <col min="5099" max="5099" width="11.54296875" style="145" bestFit="1" customWidth="1"/>
    <col min="5100" max="5100" width="12.36328125" style="145" bestFit="1" customWidth="1"/>
    <col min="5101" max="5102" width="11.54296875" style="145" bestFit="1" customWidth="1"/>
    <col min="5103" max="5103" width="2.453125" style="145" customWidth="1"/>
    <col min="5104" max="5351" width="8.90625" style="145"/>
    <col min="5352" max="5352" width="56.36328125" style="145" customWidth="1"/>
    <col min="5353" max="5353" width="65" style="145" bestFit="1" customWidth="1"/>
    <col min="5354" max="5354" width="12.54296875" style="145" bestFit="1" customWidth="1"/>
    <col min="5355" max="5355" width="11.54296875" style="145" bestFit="1" customWidth="1"/>
    <col min="5356" max="5356" width="12.36328125" style="145" bestFit="1" customWidth="1"/>
    <col min="5357" max="5358" width="11.54296875" style="145" bestFit="1" customWidth="1"/>
    <col min="5359" max="5359" width="2.453125" style="145" customWidth="1"/>
    <col min="5360" max="5607" width="8.90625" style="145"/>
    <col min="5608" max="5608" width="56.36328125" style="145" customWidth="1"/>
    <col min="5609" max="5609" width="65" style="145" bestFit="1" customWidth="1"/>
    <col min="5610" max="5610" width="12.54296875" style="145" bestFit="1" customWidth="1"/>
    <col min="5611" max="5611" width="11.54296875" style="145" bestFit="1" customWidth="1"/>
    <col min="5612" max="5612" width="12.36328125" style="145" bestFit="1" customWidth="1"/>
    <col min="5613" max="5614" width="11.54296875" style="145" bestFit="1" customWidth="1"/>
    <col min="5615" max="5615" width="2.453125" style="145" customWidth="1"/>
    <col min="5616" max="5863" width="8.90625" style="145"/>
    <col min="5864" max="5864" width="56.36328125" style="145" customWidth="1"/>
    <col min="5865" max="5865" width="65" style="145" bestFit="1" customWidth="1"/>
    <col min="5866" max="5866" width="12.54296875" style="145" bestFit="1" customWidth="1"/>
    <col min="5867" max="5867" width="11.54296875" style="145" bestFit="1" customWidth="1"/>
    <col min="5868" max="5868" width="12.36328125" style="145" bestFit="1" customWidth="1"/>
    <col min="5869" max="5870" width="11.54296875" style="145" bestFit="1" customWidth="1"/>
    <col min="5871" max="5871" width="2.453125" style="145" customWidth="1"/>
    <col min="5872" max="6119" width="8.90625" style="145"/>
    <col min="6120" max="6120" width="56.36328125" style="145" customWidth="1"/>
    <col min="6121" max="6121" width="65" style="145" bestFit="1" customWidth="1"/>
    <col min="6122" max="6122" width="12.54296875" style="145" bestFit="1" customWidth="1"/>
    <col min="6123" max="6123" width="11.54296875" style="145" bestFit="1" customWidth="1"/>
    <col min="6124" max="6124" width="12.36328125" style="145" bestFit="1" customWidth="1"/>
    <col min="6125" max="6126" width="11.54296875" style="145" bestFit="1" customWidth="1"/>
    <col min="6127" max="6127" width="2.453125" style="145" customWidth="1"/>
    <col min="6128" max="6375" width="8.90625" style="145"/>
    <col min="6376" max="6376" width="56.36328125" style="145" customWidth="1"/>
    <col min="6377" max="6377" width="65" style="145" bestFit="1" customWidth="1"/>
    <col min="6378" max="6378" width="12.54296875" style="145" bestFit="1" customWidth="1"/>
    <col min="6379" max="6379" width="11.54296875" style="145" bestFit="1" customWidth="1"/>
    <col min="6380" max="6380" width="12.36328125" style="145" bestFit="1" customWidth="1"/>
    <col min="6381" max="6382" width="11.54296875" style="145" bestFit="1" customWidth="1"/>
    <col min="6383" max="6383" width="2.453125" style="145" customWidth="1"/>
    <col min="6384" max="6631" width="8.90625" style="145"/>
    <col min="6632" max="6632" width="56.36328125" style="145" customWidth="1"/>
    <col min="6633" max="6633" width="65" style="145" bestFit="1" customWidth="1"/>
    <col min="6634" max="6634" width="12.54296875" style="145" bestFit="1" customWidth="1"/>
    <col min="6635" max="6635" width="11.54296875" style="145" bestFit="1" customWidth="1"/>
    <col min="6636" max="6636" width="12.36328125" style="145" bestFit="1" customWidth="1"/>
    <col min="6637" max="6638" width="11.54296875" style="145" bestFit="1" customWidth="1"/>
    <col min="6639" max="6639" width="2.453125" style="145" customWidth="1"/>
    <col min="6640" max="6887" width="8.90625" style="145"/>
    <col min="6888" max="6888" width="56.36328125" style="145" customWidth="1"/>
    <col min="6889" max="6889" width="65" style="145" bestFit="1" customWidth="1"/>
    <col min="6890" max="6890" width="12.54296875" style="145" bestFit="1" customWidth="1"/>
    <col min="6891" max="6891" width="11.54296875" style="145" bestFit="1" customWidth="1"/>
    <col min="6892" max="6892" width="12.36328125" style="145" bestFit="1" customWidth="1"/>
    <col min="6893" max="6894" width="11.54296875" style="145" bestFit="1" customWidth="1"/>
    <col min="6895" max="6895" width="2.453125" style="145" customWidth="1"/>
    <col min="6896" max="7143" width="8.90625" style="145"/>
    <col min="7144" max="7144" width="56.36328125" style="145" customWidth="1"/>
    <col min="7145" max="7145" width="65" style="145" bestFit="1" customWidth="1"/>
    <col min="7146" max="7146" width="12.54296875" style="145" bestFit="1" customWidth="1"/>
    <col min="7147" max="7147" width="11.54296875" style="145" bestFit="1" customWidth="1"/>
    <col min="7148" max="7148" width="12.36328125" style="145" bestFit="1" customWidth="1"/>
    <col min="7149" max="7150" width="11.54296875" style="145" bestFit="1" customWidth="1"/>
    <col min="7151" max="7151" width="2.453125" style="145" customWidth="1"/>
    <col min="7152" max="7399" width="8.90625" style="145"/>
    <col min="7400" max="7400" width="56.36328125" style="145" customWidth="1"/>
    <col min="7401" max="7401" width="65" style="145" bestFit="1" customWidth="1"/>
    <col min="7402" max="7402" width="12.54296875" style="145" bestFit="1" customWidth="1"/>
    <col min="7403" max="7403" width="11.54296875" style="145" bestFit="1" customWidth="1"/>
    <col min="7404" max="7404" width="12.36328125" style="145" bestFit="1" customWidth="1"/>
    <col min="7405" max="7406" width="11.54296875" style="145" bestFit="1" customWidth="1"/>
    <col min="7407" max="7407" width="2.453125" style="145" customWidth="1"/>
    <col min="7408" max="7655" width="8.90625" style="145"/>
    <col min="7656" max="7656" width="56.36328125" style="145" customWidth="1"/>
    <col min="7657" max="7657" width="65" style="145" bestFit="1" customWidth="1"/>
    <col min="7658" max="7658" width="12.54296875" style="145" bestFit="1" customWidth="1"/>
    <col min="7659" max="7659" width="11.54296875" style="145" bestFit="1" customWidth="1"/>
    <col min="7660" max="7660" width="12.36328125" style="145" bestFit="1" customWidth="1"/>
    <col min="7661" max="7662" width="11.54296875" style="145" bestFit="1" customWidth="1"/>
    <col min="7663" max="7663" width="2.453125" style="145" customWidth="1"/>
    <col min="7664" max="7911" width="8.90625" style="145"/>
    <col min="7912" max="7912" width="56.36328125" style="145" customWidth="1"/>
    <col min="7913" max="7913" width="65" style="145" bestFit="1" customWidth="1"/>
    <col min="7914" max="7914" width="12.54296875" style="145" bestFit="1" customWidth="1"/>
    <col min="7915" max="7915" width="11.54296875" style="145" bestFit="1" customWidth="1"/>
    <col min="7916" max="7916" width="12.36328125" style="145" bestFit="1" customWidth="1"/>
    <col min="7917" max="7918" width="11.54296875" style="145" bestFit="1" customWidth="1"/>
    <col min="7919" max="7919" width="2.453125" style="145" customWidth="1"/>
    <col min="7920" max="8167" width="8.90625" style="145"/>
    <col min="8168" max="8168" width="56.36328125" style="145" customWidth="1"/>
    <col min="8169" max="8169" width="65" style="145" bestFit="1" customWidth="1"/>
    <col min="8170" max="8170" width="12.54296875" style="145" bestFit="1" customWidth="1"/>
    <col min="8171" max="8171" width="11.54296875" style="145" bestFit="1" customWidth="1"/>
    <col min="8172" max="8172" width="12.36328125" style="145" bestFit="1" customWidth="1"/>
    <col min="8173" max="8174" width="11.54296875" style="145" bestFit="1" customWidth="1"/>
    <col min="8175" max="8175" width="2.453125" style="145" customWidth="1"/>
    <col min="8176" max="8423" width="8.90625" style="145"/>
    <col min="8424" max="8424" width="56.36328125" style="145" customWidth="1"/>
    <col min="8425" max="8425" width="65" style="145" bestFit="1" customWidth="1"/>
    <col min="8426" max="8426" width="12.54296875" style="145" bestFit="1" customWidth="1"/>
    <col min="8427" max="8427" width="11.54296875" style="145" bestFit="1" customWidth="1"/>
    <col min="8428" max="8428" width="12.36328125" style="145" bestFit="1" customWidth="1"/>
    <col min="8429" max="8430" width="11.54296875" style="145" bestFit="1" customWidth="1"/>
    <col min="8431" max="8431" width="2.453125" style="145" customWidth="1"/>
    <col min="8432" max="8679" width="8.90625" style="145"/>
    <col min="8680" max="8680" width="56.36328125" style="145" customWidth="1"/>
    <col min="8681" max="8681" width="65" style="145" bestFit="1" customWidth="1"/>
    <col min="8682" max="8682" width="12.54296875" style="145" bestFit="1" customWidth="1"/>
    <col min="8683" max="8683" width="11.54296875" style="145" bestFit="1" customWidth="1"/>
    <col min="8684" max="8684" width="12.36328125" style="145" bestFit="1" customWidth="1"/>
    <col min="8685" max="8686" width="11.54296875" style="145" bestFit="1" customWidth="1"/>
    <col min="8687" max="8687" width="2.453125" style="145" customWidth="1"/>
    <col min="8688" max="8935" width="8.90625" style="145"/>
    <col min="8936" max="8936" width="56.36328125" style="145" customWidth="1"/>
    <col min="8937" max="8937" width="65" style="145" bestFit="1" customWidth="1"/>
    <col min="8938" max="8938" width="12.54296875" style="145" bestFit="1" customWidth="1"/>
    <col min="8939" max="8939" width="11.54296875" style="145" bestFit="1" customWidth="1"/>
    <col min="8940" max="8940" width="12.36328125" style="145" bestFit="1" customWidth="1"/>
    <col min="8941" max="8942" width="11.54296875" style="145" bestFit="1" customWidth="1"/>
    <col min="8943" max="8943" width="2.453125" style="145" customWidth="1"/>
    <col min="8944" max="9191" width="8.90625" style="145"/>
    <col min="9192" max="9192" width="56.36328125" style="145" customWidth="1"/>
    <col min="9193" max="9193" width="65" style="145" bestFit="1" customWidth="1"/>
    <col min="9194" max="9194" width="12.54296875" style="145" bestFit="1" customWidth="1"/>
    <col min="9195" max="9195" width="11.54296875" style="145" bestFit="1" customWidth="1"/>
    <col min="9196" max="9196" width="12.36328125" style="145" bestFit="1" customWidth="1"/>
    <col min="9197" max="9198" width="11.54296875" style="145" bestFit="1" customWidth="1"/>
    <col min="9199" max="9199" width="2.453125" style="145" customWidth="1"/>
    <col min="9200" max="9447" width="8.90625" style="145"/>
    <col min="9448" max="9448" width="56.36328125" style="145" customWidth="1"/>
    <col min="9449" max="9449" width="65" style="145" bestFit="1" customWidth="1"/>
    <col min="9450" max="9450" width="12.54296875" style="145" bestFit="1" customWidth="1"/>
    <col min="9451" max="9451" width="11.54296875" style="145" bestFit="1" customWidth="1"/>
    <col min="9452" max="9452" width="12.36328125" style="145" bestFit="1" customWidth="1"/>
    <col min="9453" max="9454" width="11.54296875" style="145" bestFit="1" customWidth="1"/>
    <col min="9455" max="9455" width="2.453125" style="145" customWidth="1"/>
    <col min="9456" max="9703" width="8.90625" style="145"/>
    <col min="9704" max="9704" width="56.36328125" style="145" customWidth="1"/>
    <col min="9705" max="9705" width="65" style="145" bestFit="1" customWidth="1"/>
    <col min="9706" max="9706" width="12.54296875" style="145" bestFit="1" customWidth="1"/>
    <col min="9707" max="9707" width="11.54296875" style="145" bestFit="1" customWidth="1"/>
    <col min="9708" max="9708" width="12.36328125" style="145" bestFit="1" customWidth="1"/>
    <col min="9709" max="9710" width="11.54296875" style="145" bestFit="1" customWidth="1"/>
    <col min="9711" max="9711" width="2.453125" style="145" customWidth="1"/>
    <col min="9712" max="9959" width="8.90625" style="145"/>
    <col min="9960" max="9960" width="56.36328125" style="145" customWidth="1"/>
    <col min="9961" max="9961" width="65" style="145" bestFit="1" customWidth="1"/>
    <col min="9962" max="9962" width="12.54296875" style="145" bestFit="1" customWidth="1"/>
    <col min="9963" max="9963" width="11.54296875" style="145" bestFit="1" customWidth="1"/>
    <col min="9964" max="9964" width="12.36328125" style="145" bestFit="1" customWidth="1"/>
    <col min="9965" max="9966" width="11.54296875" style="145" bestFit="1" customWidth="1"/>
    <col min="9967" max="9967" width="2.453125" style="145" customWidth="1"/>
    <col min="9968" max="10215" width="8.90625" style="145"/>
    <col min="10216" max="10216" width="56.36328125" style="145" customWidth="1"/>
    <col min="10217" max="10217" width="65" style="145" bestFit="1" customWidth="1"/>
    <col min="10218" max="10218" width="12.54296875" style="145" bestFit="1" customWidth="1"/>
    <col min="10219" max="10219" width="11.54296875" style="145" bestFit="1" customWidth="1"/>
    <col min="10220" max="10220" width="12.36328125" style="145" bestFit="1" customWidth="1"/>
    <col min="10221" max="10222" width="11.54296875" style="145" bestFit="1" customWidth="1"/>
    <col min="10223" max="10223" width="2.453125" style="145" customWidth="1"/>
    <col min="10224" max="10471" width="8.90625" style="145"/>
    <col min="10472" max="10472" width="56.36328125" style="145" customWidth="1"/>
    <col min="10473" max="10473" width="65" style="145" bestFit="1" customWidth="1"/>
    <col min="10474" max="10474" width="12.54296875" style="145" bestFit="1" customWidth="1"/>
    <col min="10475" max="10475" width="11.54296875" style="145" bestFit="1" customWidth="1"/>
    <col min="10476" max="10476" width="12.36328125" style="145" bestFit="1" customWidth="1"/>
    <col min="10477" max="10478" width="11.54296875" style="145" bestFit="1" customWidth="1"/>
    <col min="10479" max="10479" width="2.453125" style="145" customWidth="1"/>
    <col min="10480" max="10727" width="8.90625" style="145"/>
    <col min="10728" max="10728" width="56.36328125" style="145" customWidth="1"/>
    <col min="10729" max="10729" width="65" style="145" bestFit="1" customWidth="1"/>
    <col min="10730" max="10730" width="12.54296875" style="145" bestFit="1" customWidth="1"/>
    <col min="10731" max="10731" width="11.54296875" style="145" bestFit="1" customWidth="1"/>
    <col min="10732" max="10732" width="12.36328125" style="145" bestFit="1" customWidth="1"/>
    <col min="10733" max="10734" width="11.54296875" style="145" bestFit="1" customWidth="1"/>
    <col min="10735" max="10735" width="2.453125" style="145" customWidth="1"/>
    <col min="10736" max="10983" width="8.90625" style="145"/>
    <col min="10984" max="10984" width="56.36328125" style="145" customWidth="1"/>
    <col min="10985" max="10985" width="65" style="145" bestFit="1" customWidth="1"/>
    <col min="10986" max="10986" width="12.54296875" style="145" bestFit="1" customWidth="1"/>
    <col min="10987" max="10987" width="11.54296875" style="145" bestFit="1" customWidth="1"/>
    <col min="10988" max="10988" width="12.36328125" style="145" bestFit="1" customWidth="1"/>
    <col min="10989" max="10990" width="11.54296875" style="145" bestFit="1" customWidth="1"/>
    <col min="10991" max="10991" width="2.453125" style="145" customWidth="1"/>
    <col min="10992" max="11239" width="8.90625" style="145"/>
    <col min="11240" max="11240" width="56.36328125" style="145" customWidth="1"/>
    <col min="11241" max="11241" width="65" style="145" bestFit="1" customWidth="1"/>
    <col min="11242" max="11242" width="12.54296875" style="145" bestFit="1" customWidth="1"/>
    <col min="11243" max="11243" width="11.54296875" style="145" bestFit="1" customWidth="1"/>
    <col min="11244" max="11244" width="12.36328125" style="145" bestFit="1" customWidth="1"/>
    <col min="11245" max="11246" width="11.54296875" style="145" bestFit="1" customWidth="1"/>
    <col min="11247" max="11247" width="2.453125" style="145" customWidth="1"/>
    <col min="11248" max="11495" width="8.90625" style="145"/>
    <col min="11496" max="11496" width="56.36328125" style="145" customWidth="1"/>
    <col min="11497" max="11497" width="65" style="145" bestFit="1" customWidth="1"/>
    <col min="11498" max="11498" width="12.54296875" style="145" bestFit="1" customWidth="1"/>
    <col min="11499" max="11499" width="11.54296875" style="145" bestFit="1" customWidth="1"/>
    <col min="11500" max="11500" width="12.36328125" style="145" bestFit="1" customWidth="1"/>
    <col min="11501" max="11502" width="11.54296875" style="145" bestFit="1" customWidth="1"/>
    <col min="11503" max="11503" width="2.453125" style="145" customWidth="1"/>
    <col min="11504" max="11751" width="8.90625" style="145"/>
    <col min="11752" max="11752" width="56.36328125" style="145" customWidth="1"/>
    <col min="11753" max="11753" width="65" style="145" bestFit="1" customWidth="1"/>
    <col min="11754" max="11754" width="12.54296875" style="145" bestFit="1" customWidth="1"/>
    <col min="11755" max="11755" width="11.54296875" style="145" bestFit="1" customWidth="1"/>
    <col min="11756" max="11756" width="12.36328125" style="145" bestFit="1" customWidth="1"/>
    <col min="11757" max="11758" width="11.54296875" style="145" bestFit="1" customWidth="1"/>
    <col min="11759" max="11759" width="2.453125" style="145" customWidth="1"/>
    <col min="11760" max="12007" width="8.90625" style="145"/>
    <col min="12008" max="12008" width="56.36328125" style="145" customWidth="1"/>
    <col min="12009" max="12009" width="65" style="145" bestFit="1" customWidth="1"/>
    <col min="12010" max="12010" width="12.54296875" style="145" bestFit="1" customWidth="1"/>
    <col min="12011" max="12011" width="11.54296875" style="145" bestFit="1" customWidth="1"/>
    <col min="12012" max="12012" width="12.36328125" style="145" bestFit="1" customWidth="1"/>
    <col min="12013" max="12014" width="11.54296875" style="145" bestFit="1" customWidth="1"/>
    <col min="12015" max="12015" width="2.453125" style="145" customWidth="1"/>
    <col min="12016" max="12263" width="8.90625" style="145"/>
    <col min="12264" max="12264" width="56.36328125" style="145" customWidth="1"/>
    <col min="12265" max="12265" width="65" style="145" bestFit="1" customWidth="1"/>
    <col min="12266" max="12266" width="12.54296875" style="145" bestFit="1" customWidth="1"/>
    <col min="12267" max="12267" width="11.54296875" style="145" bestFit="1" customWidth="1"/>
    <col min="12268" max="12268" width="12.36328125" style="145" bestFit="1" customWidth="1"/>
    <col min="12269" max="12270" width="11.54296875" style="145" bestFit="1" customWidth="1"/>
    <col min="12271" max="12271" width="2.453125" style="145" customWidth="1"/>
    <col min="12272" max="12519" width="8.90625" style="145"/>
    <col min="12520" max="12520" width="56.36328125" style="145" customWidth="1"/>
    <col min="12521" max="12521" width="65" style="145" bestFit="1" customWidth="1"/>
    <col min="12522" max="12522" width="12.54296875" style="145" bestFit="1" customWidth="1"/>
    <col min="12523" max="12523" width="11.54296875" style="145" bestFit="1" customWidth="1"/>
    <col min="12524" max="12524" width="12.36328125" style="145" bestFit="1" customWidth="1"/>
    <col min="12525" max="12526" width="11.54296875" style="145" bestFit="1" customWidth="1"/>
    <col min="12527" max="12527" width="2.453125" style="145" customWidth="1"/>
    <col min="12528" max="12775" width="8.90625" style="145"/>
    <col min="12776" max="12776" width="56.36328125" style="145" customWidth="1"/>
    <col min="12777" max="12777" width="65" style="145" bestFit="1" customWidth="1"/>
    <col min="12778" max="12778" width="12.54296875" style="145" bestFit="1" customWidth="1"/>
    <col min="12779" max="12779" width="11.54296875" style="145" bestFit="1" customWidth="1"/>
    <col min="12780" max="12780" width="12.36328125" style="145" bestFit="1" customWidth="1"/>
    <col min="12781" max="12782" width="11.54296875" style="145" bestFit="1" customWidth="1"/>
    <col min="12783" max="12783" width="2.453125" style="145" customWidth="1"/>
    <col min="12784" max="13031" width="8.90625" style="145"/>
    <col min="13032" max="13032" width="56.36328125" style="145" customWidth="1"/>
    <col min="13033" max="13033" width="65" style="145" bestFit="1" customWidth="1"/>
    <col min="13034" max="13034" width="12.54296875" style="145" bestFit="1" customWidth="1"/>
    <col min="13035" max="13035" width="11.54296875" style="145" bestFit="1" customWidth="1"/>
    <col min="13036" max="13036" width="12.36328125" style="145" bestFit="1" customWidth="1"/>
    <col min="13037" max="13038" width="11.54296875" style="145" bestFit="1" customWidth="1"/>
    <col min="13039" max="13039" width="2.453125" style="145" customWidth="1"/>
    <col min="13040" max="13287" width="8.90625" style="145"/>
    <col min="13288" max="13288" width="56.36328125" style="145" customWidth="1"/>
    <col min="13289" max="13289" width="65" style="145" bestFit="1" customWidth="1"/>
    <col min="13290" max="13290" width="12.54296875" style="145" bestFit="1" customWidth="1"/>
    <col min="13291" max="13291" width="11.54296875" style="145" bestFit="1" customWidth="1"/>
    <col min="13292" max="13292" width="12.36328125" style="145" bestFit="1" customWidth="1"/>
    <col min="13293" max="13294" width="11.54296875" style="145" bestFit="1" customWidth="1"/>
    <col min="13295" max="13295" width="2.453125" style="145" customWidth="1"/>
    <col min="13296" max="13543" width="8.90625" style="145"/>
    <col min="13544" max="13544" width="56.36328125" style="145" customWidth="1"/>
    <col min="13545" max="13545" width="65" style="145" bestFit="1" customWidth="1"/>
    <col min="13546" max="13546" width="12.54296875" style="145" bestFit="1" customWidth="1"/>
    <col min="13547" max="13547" width="11.54296875" style="145" bestFit="1" customWidth="1"/>
    <col min="13548" max="13548" width="12.36328125" style="145" bestFit="1" customWidth="1"/>
    <col min="13549" max="13550" width="11.54296875" style="145" bestFit="1" customWidth="1"/>
    <col min="13551" max="13551" width="2.453125" style="145" customWidth="1"/>
    <col min="13552" max="13799" width="8.90625" style="145"/>
    <col min="13800" max="13800" width="56.36328125" style="145" customWidth="1"/>
    <col min="13801" max="13801" width="65" style="145" bestFit="1" customWidth="1"/>
    <col min="13802" max="13802" width="12.54296875" style="145" bestFit="1" customWidth="1"/>
    <col min="13803" max="13803" width="11.54296875" style="145" bestFit="1" customWidth="1"/>
    <col min="13804" max="13804" width="12.36328125" style="145" bestFit="1" customWidth="1"/>
    <col min="13805" max="13806" width="11.54296875" style="145" bestFit="1" customWidth="1"/>
    <col min="13807" max="13807" width="2.453125" style="145" customWidth="1"/>
    <col min="13808" max="14055" width="8.90625" style="145"/>
    <col min="14056" max="14056" width="56.36328125" style="145" customWidth="1"/>
    <col min="14057" max="14057" width="65" style="145" bestFit="1" customWidth="1"/>
    <col min="14058" max="14058" width="12.54296875" style="145" bestFit="1" customWidth="1"/>
    <col min="14059" max="14059" width="11.54296875" style="145" bestFit="1" customWidth="1"/>
    <col min="14060" max="14060" width="12.36328125" style="145" bestFit="1" customWidth="1"/>
    <col min="14061" max="14062" width="11.54296875" style="145" bestFit="1" customWidth="1"/>
    <col min="14063" max="14063" width="2.453125" style="145" customWidth="1"/>
    <col min="14064" max="14311" width="8.90625" style="145"/>
    <col min="14312" max="14312" width="56.36328125" style="145" customWidth="1"/>
    <col min="14313" max="14313" width="65" style="145" bestFit="1" customWidth="1"/>
    <col min="14314" max="14314" width="12.54296875" style="145" bestFit="1" customWidth="1"/>
    <col min="14315" max="14315" width="11.54296875" style="145" bestFit="1" customWidth="1"/>
    <col min="14316" max="14316" width="12.36328125" style="145" bestFit="1" customWidth="1"/>
    <col min="14317" max="14318" width="11.54296875" style="145" bestFit="1" customWidth="1"/>
    <col min="14319" max="14319" width="2.453125" style="145" customWidth="1"/>
    <col min="14320" max="14567" width="8.90625" style="145"/>
    <col min="14568" max="14568" width="56.36328125" style="145" customWidth="1"/>
    <col min="14569" max="14569" width="65" style="145" bestFit="1" customWidth="1"/>
    <col min="14570" max="14570" width="12.54296875" style="145" bestFit="1" customWidth="1"/>
    <col min="14571" max="14571" width="11.54296875" style="145" bestFit="1" customWidth="1"/>
    <col min="14572" max="14572" width="12.36328125" style="145" bestFit="1" customWidth="1"/>
    <col min="14573" max="14574" width="11.54296875" style="145" bestFit="1" customWidth="1"/>
    <col min="14575" max="14575" width="2.453125" style="145" customWidth="1"/>
    <col min="14576" max="14823" width="8.90625" style="145"/>
    <col min="14824" max="14824" width="56.36328125" style="145" customWidth="1"/>
    <col min="14825" max="14825" width="65" style="145" bestFit="1" customWidth="1"/>
    <col min="14826" max="14826" width="12.54296875" style="145" bestFit="1" customWidth="1"/>
    <col min="14827" max="14827" width="11.54296875" style="145" bestFit="1" customWidth="1"/>
    <col min="14828" max="14828" width="12.36328125" style="145" bestFit="1" customWidth="1"/>
    <col min="14829" max="14830" width="11.54296875" style="145" bestFit="1" customWidth="1"/>
    <col min="14831" max="14831" width="2.453125" style="145" customWidth="1"/>
    <col min="14832" max="15079" width="8.90625" style="145"/>
    <col min="15080" max="15080" width="56.36328125" style="145" customWidth="1"/>
    <col min="15081" max="15081" width="65" style="145" bestFit="1" customWidth="1"/>
    <col min="15082" max="15082" width="12.54296875" style="145" bestFit="1" customWidth="1"/>
    <col min="15083" max="15083" width="11.54296875" style="145" bestFit="1" customWidth="1"/>
    <col min="15084" max="15084" width="12.36328125" style="145" bestFit="1" customWidth="1"/>
    <col min="15085" max="15086" width="11.54296875" style="145" bestFit="1" customWidth="1"/>
    <col min="15087" max="15087" width="2.453125" style="145" customWidth="1"/>
    <col min="15088" max="15335" width="8.90625" style="145"/>
    <col min="15336" max="15336" width="56.36328125" style="145" customWidth="1"/>
    <col min="15337" max="15337" width="65" style="145" bestFit="1" customWidth="1"/>
    <col min="15338" max="15338" width="12.54296875" style="145" bestFit="1" customWidth="1"/>
    <col min="15339" max="15339" width="11.54296875" style="145" bestFit="1" customWidth="1"/>
    <col min="15340" max="15340" width="12.36328125" style="145" bestFit="1" customWidth="1"/>
    <col min="15341" max="15342" width="11.54296875" style="145" bestFit="1" customWidth="1"/>
    <col min="15343" max="15343" width="2.453125" style="145" customWidth="1"/>
    <col min="15344" max="15591" width="8.90625" style="145"/>
    <col min="15592" max="15592" width="56.36328125" style="145" customWidth="1"/>
    <col min="15593" max="15593" width="65" style="145" bestFit="1" customWidth="1"/>
    <col min="15594" max="15594" width="12.54296875" style="145" bestFit="1" customWidth="1"/>
    <col min="15595" max="15595" width="11.54296875" style="145" bestFit="1" customWidth="1"/>
    <col min="15596" max="15596" width="12.36328125" style="145" bestFit="1" customWidth="1"/>
    <col min="15597" max="15598" width="11.54296875" style="145" bestFit="1" customWidth="1"/>
    <col min="15599" max="15599" width="2.453125" style="145" customWidth="1"/>
    <col min="15600" max="15847" width="8.90625" style="145"/>
    <col min="15848" max="15848" width="56.36328125" style="145" customWidth="1"/>
    <col min="15849" max="15849" width="65" style="145" bestFit="1" customWidth="1"/>
    <col min="15850" max="15850" width="12.54296875" style="145" bestFit="1" customWidth="1"/>
    <col min="15851" max="15851" width="11.54296875" style="145" bestFit="1" customWidth="1"/>
    <col min="15852" max="15852" width="12.36328125" style="145" bestFit="1" customWidth="1"/>
    <col min="15853" max="15854" width="11.54296875" style="145" bestFit="1" customWidth="1"/>
    <col min="15855" max="15855" width="2.453125" style="145" customWidth="1"/>
    <col min="15856" max="16103" width="8.90625" style="145"/>
    <col min="16104" max="16104" width="56.36328125" style="145" customWidth="1"/>
    <col min="16105" max="16105" width="65" style="145" bestFit="1" customWidth="1"/>
    <col min="16106" max="16106" width="12.54296875" style="145" bestFit="1" customWidth="1"/>
    <col min="16107" max="16107" width="11.54296875" style="145" bestFit="1" customWidth="1"/>
    <col min="16108" max="16108" width="12.36328125" style="145" bestFit="1" customWidth="1"/>
    <col min="16109" max="16110" width="11.54296875" style="145" bestFit="1" customWidth="1"/>
    <col min="16111" max="16111" width="2.453125" style="145" customWidth="1"/>
    <col min="16112" max="16358" width="8.90625" style="145"/>
    <col min="16359" max="16384" width="9.08984375" style="145" customWidth="1"/>
  </cols>
  <sheetData>
    <row r="1" spans="1:9" ht="15" thickBot="1" x14ac:dyDescent="0.4">
      <c r="A1" s="173"/>
      <c r="B1" s="173"/>
      <c r="I1" s="174"/>
    </row>
    <row r="2" spans="1:9" s="146" customFormat="1" ht="25.75" customHeight="1" thickBot="1" x14ac:dyDescent="0.4">
      <c r="A2" s="175" t="s">
        <v>252</v>
      </c>
      <c r="B2" s="175"/>
      <c r="C2" s="176">
        <v>2017</v>
      </c>
      <c r="D2" s="176">
        <f>C2+1</f>
        <v>2018</v>
      </c>
      <c r="E2" s="176">
        <f t="shared" ref="E2:I2" si="0">D2+1</f>
        <v>2019</v>
      </c>
      <c r="F2" s="176">
        <f t="shared" si="0"/>
        <v>2020</v>
      </c>
      <c r="G2" s="176">
        <f t="shared" si="0"/>
        <v>2021</v>
      </c>
      <c r="H2" s="176">
        <f t="shared" si="0"/>
        <v>2022</v>
      </c>
      <c r="I2" s="176">
        <f t="shared" si="0"/>
        <v>2023</v>
      </c>
    </row>
    <row r="3" spans="1:9" ht="9" customHeight="1" thickBot="1" x14ac:dyDescent="0.4"/>
    <row r="4" spans="1:9" s="157" customFormat="1" ht="15" thickBot="1" x14ac:dyDescent="0.4">
      <c r="A4" s="177" t="s">
        <v>253</v>
      </c>
      <c r="B4" s="177" t="s">
        <v>254</v>
      </c>
      <c r="C4" s="156">
        <v>4798066</v>
      </c>
      <c r="D4" s="156">
        <v>4800356</v>
      </c>
      <c r="E4" s="156">
        <v>370097.95999998227</v>
      </c>
      <c r="F4" s="156">
        <v>869104.43999996176</v>
      </c>
      <c r="G4" s="156">
        <v>-1447458</v>
      </c>
      <c r="H4" s="156">
        <v>51471690</v>
      </c>
      <c r="I4" s="178">
        <v>3313809</v>
      </c>
    </row>
    <row r="5" spans="1:9" x14ac:dyDescent="0.35">
      <c r="A5" s="173" t="s">
        <v>255</v>
      </c>
      <c r="B5" s="173" t="s">
        <v>256</v>
      </c>
      <c r="C5" s="179">
        <v>940272</v>
      </c>
      <c r="D5" s="179">
        <v>-1609945</v>
      </c>
      <c r="E5" s="179">
        <v>217442</v>
      </c>
      <c r="F5" s="179">
        <v>238297</v>
      </c>
      <c r="G5" s="179">
        <v>889087</v>
      </c>
      <c r="H5" s="179">
        <v>912071</v>
      </c>
      <c r="I5" s="180">
        <v>182523</v>
      </c>
    </row>
    <row r="6" spans="1:9" s="157" customFormat="1" x14ac:dyDescent="0.35">
      <c r="A6" s="173" t="s">
        <v>257</v>
      </c>
      <c r="B6" s="173" t="s">
        <v>258</v>
      </c>
      <c r="C6" s="179">
        <v>10706926.199999999</v>
      </c>
      <c r="D6" s="179">
        <v>10696166.879999999</v>
      </c>
      <c r="E6" s="179">
        <v>10634489</v>
      </c>
      <c r="F6" s="179">
        <v>10202832.52</v>
      </c>
      <c r="G6" s="179">
        <v>9977583</v>
      </c>
      <c r="H6" s="179">
        <v>9609158</v>
      </c>
      <c r="I6" s="180">
        <v>9392805</v>
      </c>
    </row>
    <row r="7" spans="1:9" x14ac:dyDescent="0.35">
      <c r="A7" s="173" t="s">
        <v>259</v>
      </c>
      <c r="B7" s="173" t="s">
        <v>260</v>
      </c>
      <c r="C7" s="179">
        <v>424790.34000000032</v>
      </c>
      <c r="D7" s="179">
        <v>-11253.689999999988</v>
      </c>
      <c r="E7" s="179">
        <v>330904</v>
      </c>
      <c r="F7" s="179">
        <v>72556.229999999981</v>
      </c>
      <c r="G7" s="179">
        <v>-21280</v>
      </c>
      <c r="H7" s="179">
        <v>-915621</v>
      </c>
      <c r="I7" s="180">
        <v>0</v>
      </c>
    </row>
    <row r="8" spans="1:9" ht="29" x14ac:dyDescent="0.35">
      <c r="A8" s="173" t="s">
        <v>261</v>
      </c>
      <c r="B8" s="173" t="s">
        <v>262</v>
      </c>
      <c r="C8" s="179">
        <v>-1490373.73</v>
      </c>
      <c r="D8" s="179">
        <v>-307659.07</v>
      </c>
      <c r="E8" s="179">
        <v>429524</v>
      </c>
      <c r="F8" s="179">
        <v>278663.31000000006</v>
      </c>
      <c r="G8" s="179">
        <v>-1377918</v>
      </c>
      <c r="H8" s="179">
        <v>-170996</v>
      </c>
      <c r="I8" s="180">
        <v>-974174</v>
      </c>
    </row>
    <row r="9" spans="1:9" ht="29" x14ac:dyDescent="0.35">
      <c r="A9" s="173" t="s">
        <v>263</v>
      </c>
      <c r="B9" s="173" t="s">
        <v>264</v>
      </c>
      <c r="C9" s="179">
        <v>0</v>
      </c>
      <c r="D9" s="179">
        <v>756721.89</v>
      </c>
      <c r="E9" s="179">
        <v>795624.2300000001</v>
      </c>
      <c r="F9" s="179">
        <v>0</v>
      </c>
      <c r="G9" s="179">
        <v>0</v>
      </c>
      <c r="H9" s="179">
        <v>0</v>
      </c>
      <c r="I9" s="180">
        <v>-3992451</v>
      </c>
    </row>
    <row r="10" spans="1:9" x14ac:dyDescent="0.35">
      <c r="A10" s="173" t="s">
        <v>265</v>
      </c>
      <c r="B10" s="173" t="s">
        <v>266</v>
      </c>
      <c r="C10" s="179">
        <v>0</v>
      </c>
      <c r="D10" s="179">
        <v>0</v>
      </c>
      <c r="E10" s="179">
        <v>0</v>
      </c>
      <c r="F10" s="179">
        <v>0</v>
      </c>
      <c r="G10" s="179">
        <v>0</v>
      </c>
      <c r="H10" s="179">
        <v>1370104.4400000002</v>
      </c>
      <c r="I10" s="180">
        <v>0</v>
      </c>
    </row>
    <row r="11" spans="1:9" x14ac:dyDescent="0.35">
      <c r="A11" s="173" t="s">
        <v>267</v>
      </c>
      <c r="B11" s="173" t="s">
        <v>268</v>
      </c>
      <c r="C11" s="179">
        <v>-2385785.09</v>
      </c>
      <c r="D11" s="179">
        <v>-2709699.0299999993</v>
      </c>
      <c r="E11" s="179">
        <v>0</v>
      </c>
      <c r="F11" s="179">
        <v>69661.810000000056</v>
      </c>
      <c r="G11" s="179">
        <v>-411233</v>
      </c>
      <c r="H11" s="179">
        <v>-1191307</v>
      </c>
      <c r="I11" s="180">
        <v>0</v>
      </c>
    </row>
    <row r="12" spans="1:9" ht="17.399999999999999" customHeight="1" x14ac:dyDescent="0.35">
      <c r="A12" s="173" t="s">
        <v>269</v>
      </c>
      <c r="B12" s="173" t="s">
        <v>270</v>
      </c>
      <c r="C12" s="179">
        <v>0</v>
      </c>
      <c r="D12" s="179">
        <v>0</v>
      </c>
      <c r="E12" s="179">
        <v>-185760.11290000001</v>
      </c>
      <c r="F12" s="179">
        <v>234171.11000000034</v>
      </c>
      <c r="G12" s="179">
        <v>0</v>
      </c>
      <c r="H12" s="179">
        <v>0</v>
      </c>
      <c r="I12" s="180">
        <v>0</v>
      </c>
    </row>
    <row r="13" spans="1:9" ht="28.5" customHeight="1" x14ac:dyDescent="0.35">
      <c r="A13" s="173" t="s">
        <v>271</v>
      </c>
      <c r="B13" s="173" t="s">
        <v>272</v>
      </c>
      <c r="C13" s="179">
        <v>16976.320000000007</v>
      </c>
      <c r="D13" s="179">
        <v>-36085.25</v>
      </c>
      <c r="E13" s="179">
        <v>4006</v>
      </c>
      <c r="F13" s="179">
        <v>22272.14</v>
      </c>
      <c r="G13" s="179">
        <v>45827</v>
      </c>
      <c r="H13" s="179">
        <v>54270</v>
      </c>
      <c r="I13" s="180">
        <v>54865</v>
      </c>
    </row>
    <row r="14" spans="1:9" ht="19.75" customHeight="1" x14ac:dyDescent="0.35">
      <c r="A14" s="173" t="s">
        <v>273</v>
      </c>
      <c r="B14" s="173" t="s">
        <v>274</v>
      </c>
      <c r="C14" s="179">
        <v>165833.49</v>
      </c>
      <c r="D14" s="179">
        <v>206804.33</v>
      </c>
      <c r="E14" s="179">
        <v>19414</v>
      </c>
      <c r="F14" s="179">
        <v>282705.19999999995</v>
      </c>
      <c r="G14" s="179">
        <v>13642</v>
      </c>
      <c r="H14" s="179">
        <v>-54640</v>
      </c>
      <c r="I14" s="180">
        <v>83148</v>
      </c>
    </row>
    <row r="15" spans="1:9" ht="19.75" customHeight="1" x14ac:dyDescent="0.35">
      <c r="A15" s="173" t="s">
        <v>275</v>
      </c>
      <c r="B15" s="173" t="s">
        <v>276</v>
      </c>
      <c r="C15" s="179">
        <v>0</v>
      </c>
      <c r="D15" s="179">
        <v>0</v>
      </c>
      <c r="E15" s="179">
        <v>0</v>
      </c>
      <c r="F15" s="179">
        <v>0</v>
      </c>
      <c r="G15" s="179">
        <v>-327189</v>
      </c>
      <c r="H15" s="179">
        <v>-9793</v>
      </c>
      <c r="I15" s="180">
        <v>-288092</v>
      </c>
    </row>
    <row r="16" spans="1:9" x14ac:dyDescent="0.35">
      <c r="A16" s="173" t="s">
        <v>277</v>
      </c>
      <c r="B16" s="173" t="s">
        <v>278</v>
      </c>
      <c r="C16" s="179">
        <v>0</v>
      </c>
      <c r="D16" s="179">
        <v>0</v>
      </c>
      <c r="E16" s="179">
        <v>0</v>
      </c>
      <c r="F16" s="179">
        <v>110537.5</v>
      </c>
      <c r="G16" s="179">
        <v>0</v>
      </c>
      <c r="H16" s="179">
        <v>0</v>
      </c>
      <c r="I16" s="180">
        <v>0</v>
      </c>
    </row>
    <row r="17" spans="1:9" ht="29" x14ac:dyDescent="0.35">
      <c r="A17" s="173" t="s">
        <v>279</v>
      </c>
      <c r="B17" s="173" t="s">
        <v>280</v>
      </c>
      <c r="C17" s="179">
        <v>0</v>
      </c>
      <c r="D17" s="179">
        <v>0</v>
      </c>
      <c r="E17" s="179">
        <v>0</v>
      </c>
      <c r="F17" s="179">
        <v>-110138</v>
      </c>
      <c r="G17" s="179">
        <v>6477632</v>
      </c>
      <c r="H17" s="179">
        <v>0</v>
      </c>
      <c r="I17" s="180">
        <v>0</v>
      </c>
    </row>
    <row r="18" spans="1:9" ht="29" x14ac:dyDescent="0.35">
      <c r="A18" s="173" t="s">
        <v>281</v>
      </c>
      <c r="B18" s="173" t="s">
        <v>282</v>
      </c>
      <c r="C18" s="179"/>
      <c r="D18" s="179"/>
      <c r="E18" s="179"/>
      <c r="F18" s="179">
        <v>200000</v>
      </c>
      <c r="G18" s="179">
        <v>200000</v>
      </c>
      <c r="H18" s="179">
        <v>600000</v>
      </c>
      <c r="I18" s="180">
        <v>117000</v>
      </c>
    </row>
    <row r="19" spans="1:9" x14ac:dyDescent="0.35">
      <c r="A19" s="173" t="s">
        <v>283</v>
      </c>
      <c r="B19" s="173" t="s">
        <v>284</v>
      </c>
      <c r="C19" s="179">
        <v>1587652.08</v>
      </c>
      <c r="D19" s="179">
        <v>1702833.93</v>
      </c>
      <c r="E19" s="179">
        <v>1472607</v>
      </c>
      <c r="F19" s="179">
        <v>1159857.74</v>
      </c>
      <c r="G19" s="179">
        <v>1149746</v>
      </c>
      <c r="H19" s="179">
        <v>1574050</v>
      </c>
      <c r="I19" s="180">
        <v>2081299</v>
      </c>
    </row>
    <row r="20" spans="1:9" x14ac:dyDescent="0.35">
      <c r="A20" s="173" t="s">
        <v>49</v>
      </c>
      <c r="B20" s="173" t="s">
        <v>285</v>
      </c>
      <c r="C20" s="179">
        <v>-3652.64</v>
      </c>
      <c r="D20" s="179">
        <v>-91477.24</v>
      </c>
      <c r="E20" s="179">
        <v>-86264</v>
      </c>
      <c r="F20" s="179">
        <v>-105139.08</v>
      </c>
      <c r="G20" s="179">
        <v>-128719</v>
      </c>
      <c r="H20" s="179">
        <v>-316730</v>
      </c>
      <c r="I20" s="180">
        <v>-983890</v>
      </c>
    </row>
    <row r="21" spans="1:9" x14ac:dyDescent="0.35">
      <c r="A21" s="173" t="s">
        <v>286</v>
      </c>
      <c r="B21" s="173" t="s">
        <v>287</v>
      </c>
      <c r="C21" s="179">
        <v>-1157997.23</v>
      </c>
      <c r="D21" s="179">
        <v>-1117269.6399999999</v>
      </c>
      <c r="E21" s="179">
        <v>0</v>
      </c>
      <c r="F21" s="179">
        <v>0</v>
      </c>
      <c r="G21" s="179">
        <v>0</v>
      </c>
      <c r="H21" s="179">
        <v>-46745700</v>
      </c>
      <c r="I21" s="180">
        <v>0</v>
      </c>
    </row>
    <row r="22" spans="1:9" x14ac:dyDescent="0.35">
      <c r="A22" s="173" t="s">
        <v>288</v>
      </c>
      <c r="B22" s="173" t="s">
        <v>289</v>
      </c>
      <c r="C22" s="179">
        <v>-2264435.7599999998</v>
      </c>
      <c r="D22" s="179">
        <v>-2263168.92</v>
      </c>
      <c r="E22" s="179">
        <v>-2275213</v>
      </c>
      <c r="F22" s="179">
        <v>-2262430.7799999998</v>
      </c>
      <c r="G22" s="179">
        <v>-2259451</v>
      </c>
      <c r="H22" s="179">
        <v>-2206664</v>
      </c>
      <c r="I22" s="180">
        <v>-2113978</v>
      </c>
    </row>
    <row r="23" spans="1:9" x14ac:dyDescent="0.35">
      <c r="A23" s="173" t="s">
        <v>290</v>
      </c>
      <c r="B23" s="173" t="s">
        <v>291</v>
      </c>
      <c r="C23" s="179">
        <v>1528592.5900000734</v>
      </c>
      <c r="D23" s="179">
        <v>-88766.88</v>
      </c>
      <c r="E23" s="179">
        <v>600347</v>
      </c>
      <c r="F23" s="179">
        <v>445797.00147184799</v>
      </c>
      <c r="G23" s="179">
        <v>654632</v>
      </c>
      <c r="H23" s="179">
        <v>-274153</v>
      </c>
      <c r="I23" s="180">
        <v>-2402662</v>
      </c>
    </row>
    <row r="24" spans="1:9" x14ac:dyDescent="0.35">
      <c r="A24" s="173"/>
      <c r="B24" s="173"/>
      <c r="C24" s="179"/>
      <c r="D24" s="179"/>
      <c r="E24" s="179">
        <v>0</v>
      </c>
      <c r="F24" s="179">
        <v>0</v>
      </c>
      <c r="G24" s="179"/>
      <c r="H24" s="179"/>
      <c r="I24" s="180"/>
    </row>
    <row r="25" spans="1:9" x14ac:dyDescent="0.35">
      <c r="A25" s="181" t="s">
        <v>292</v>
      </c>
      <c r="B25" s="182" t="s">
        <v>293</v>
      </c>
      <c r="C25" s="179"/>
      <c r="D25" s="179"/>
      <c r="E25" s="179">
        <v>0</v>
      </c>
      <c r="F25" s="179">
        <v>0</v>
      </c>
      <c r="G25" s="179"/>
      <c r="H25" s="179"/>
      <c r="I25" s="180"/>
    </row>
    <row r="26" spans="1:9" ht="29" x14ac:dyDescent="0.35">
      <c r="A26" s="173" t="s">
        <v>294</v>
      </c>
      <c r="B26" s="183" t="s">
        <v>295</v>
      </c>
      <c r="C26" s="179">
        <v>-6122322.7299999977</v>
      </c>
      <c r="D26" s="179">
        <v>-3399869.08</v>
      </c>
      <c r="E26" s="179">
        <v>-10166817.600000001</v>
      </c>
      <c r="F26" s="179">
        <v>9486747.1792640295</v>
      </c>
      <c r="G26" s="179">
        <v>-20576749</v>
      </c>
      <c r="H26" s="179">
        <v>-6316831.1985039152</v>
      </c>
      <c r="I26" s="180">
        <v>26601743</v>
      </c>
    </row>
    <row r="27" spans="1:9" x14ac:dyDescent="0.35">
      <c r="A27" s="173" t="s">
        <v>296</v>
      </c>
      <c r="B27" s="183" t="s">
        <v>297</v>
      </c>
      <c r="C27" s="179">
        <v>1843572.6599999964</v>
      </c>
      <c r="D27" s="179">
        <v>3128998</v>
      </c>
      <c r="E27" s="179">
        <v>-4650435.7799999937</v>
      </c>
      <c r="F27" s="179">
        <v>2774909</v>
      </c>
      <c r="G27" s="179">
        <v>-5375385</v>
      </c>
      <c r="H27" s="179">
        <v>-2261553</v>
      </c>
      <c r="I27" s="180">
        <v>-1119740</v>
      </c>
    </row>
    <row r="28" spans="1:9" x14ac:dyDescent="0.35">
      <c r="A28" s="173" t="s">
        <v>298</v>
      </c>
      <c r="B28" s="183" t="s">
        <v>299</v>
      </c>
      <c r="C28" s="179">
        <v>447239</v>
      </c>
      <c r="D28" s="179">
        <v>0</v>
      </c>
      <c r="E28" s="179">
        <v>-242057.24</v>
      </c>
      <c r="F28" s="179">
        <v>64467</v>
      </c>
      <c r="G28" s="179">
        <v>-1106915</v>
      </c>
      <c r="H28" s="179">
        <v>-3571403</v>
      </c>
      <c r="I28" s="180">
        <v>548605</v>
      </c>
    </row>
    <row r="29" spans="1:9" x14ac:dyDescent="0.35">
      <c r="A29" s="173" t="s">
        <v>300</v>
      </c>
      <c r="B29" s="183" t="s">
        <v>301</v>
      </c>
      <c r="C29" s="179">
        <v>1674948.0699999966</v>
      </c>
      <c r="D29" s="179">
        <v>-4669779.29</v>
      </c>
      <c r="E29" s="179">
        <v>649976.62999999896</v>
      </c>
      <c r="F29" s="179">
        <v>1787617.96</v>
      </c>
      <c r="G29" s="179">
        <v>11032378</v>
      </c>
      <c r="H29" s="179">
        <v>-4846357.3100000005</v>
      </c>
      <c r="I29" s="180">
        <v>-23288177</v>
      </c>
    </row>
    <row r="30" spans="1:9" x14ac:dyDescent="0.35">
      <c r="A30" s="173" t="s">
        <v>302</v>
      </c>
      <c r="B30" s="183" t="s">
        <v>303</v>
      </c>
      <c r="C30" s="179">
        <v>12596.930000001565</v>
      </c>
      <c r="D30" s="179">
        <v>-39774.080000000075</v>
      </c>
      <c r="E30" s="179">
        <v>-467</v>
      </c>
      <c r="F30" s="179">
        <v>0</v>
      </c>
      <c r="G30" s="179"/>
      <c r="H30" s="179">
        <v>0</v>
      </c>
      <c r="I30" s="180"/>
    </row>
    <row r="31" spans="1:9" x14ac:dyDescent="0.35">
      <c r="A31" s="173" t="s">
        <v>304</v>
      </c>
      <c r="B31" s="183" t="s">
        <v>305</v>
      </c>
      <c r="C31" s="179">
        <v>477986.32000000007</v>
      </c>
      <c r="D31" s="179">
        <v>365174.43999999994</v>
      </c>
      <c r="E31" s="179">
        <v>-3388503</v>
      </c>
      <c r="F31" s="179">
        <v>431251.74</v>
      </c>
      <c r="G31" s="179">
        <v>-129356</v>
      </c>
      <c r="H31" s="179">
        <v>1751137</v>
      </c>
      <c r="I31" s="180">
        <v>1123962</v>
      </c>
    </row>
    <row r="32" spans="1:9" ht="15" thickBot="1" x14ac:dyDescent="0.4">
      <c r="A32" s="173"/>
      <c r="B32" s="183"/>
      <c r="C32" s="179"/>
      <c r="D32" s="179"/>
      <c r="E32" s="179"/>
      <c r="F32" s="179"/>
      <c r="G32" s="179"/>
      <c r="H32" s="179"/>
      <c r="I32" s="180"/>
    </row>
    <row r="33" spans="1:9" ht="15" thickBot="1" x14ac:dyDescent="0.4">
      <c r="A33" s="184" t="s">
        <v>306</v>
      </c>
      <c r="B33" s="185" t="s">
        <v>307</v>
      </c>
      <c r="C33" s="186">
        <f t="shared" ref="C33:I33" si="1">SUM(C4:C31)</f>
        <v>11200884.820000069</v>
      </c>
      <c r="D33" s="186">
        <f t="shared" si="1"/>
        <v>5312308.2999999989</v>
      </c>
      <c r="E33" s="186">
        <f t="shared" si="1"/>
        <v>-5471085.9129000138</v>
      </c>
      <c r="F33" s="186">
        <f t="shared" si="1"/>
        <v>26253741.020735841</v>
      </c>
      <c r="G33" s="186">
        <f t="shared" si="1"/>
        <v>-2721126</v>
      </c>
      <c r="H33" s="186">
        <f t="shared" si="1"/>
        <v>-1539268.0685039181</v>
      </c>
      <c r="I33" s="187">
        <f t="shared" si="1"/>
        <v>8336595</v>
      </c>
    </row>
    <row r="34" spans="1:9" x14ac:dyDescent="0.35">
      <c r="A34" s="173"/>
      <c r="B34" s="183"/>
      <c r="C34" s="188"/>
      <c r="D34" s="188"/>
      <c r="E34" s="188"/>
      <c r="F34" s="188"/>
      <c r="G34" s="188"/>
      <c r="H34" s="188"/>
      <c r="I34" s="189"/>
    </row>
    <row r="35" spans="1:9" x14ac:dyDescent="0.35">
      <c r="A35" s="173" t="s">
        <v>308</v>
      </c>
      <c r="B35" s="183" t="s">
        <v>309</v>
      </c>
      <c r="C35" s="179">
        <v>-7163</v>
      </c>
      <c r="D35" s="179">
        <v>-212766</v>
      </c>
      <c r="E35" s="179">
        <v>-491719</v>
      </c>
      <c r="F35" s="179">
        <v>-830406</v>
      </c>
      <c r="G35" s="179">
        <v>-712964</v>
      </c>
      <c r="H35" s="179">
        <v>-1015734</v>
      </c>
      <c r="I35" s="180">
        <v>-619612</v>
      </c>
    </row>
    <row r="36" spans="1:9" x14ac:dyDescent="0.35">
      <c r="A36" s="173" t="s">
        <v>310</v>
      </c>
      <c r="B36" s="183" t="s">
        <v>311</v>
      </c>
      <c r="C36" s="179">
        <v>-1587652.08</v>
      </c>
      <c r="D36" s="179">
        <v>-1702833.93</v>
      </c>
      <c r="E36" s="179">
        <v>-1472607</v>
      </c>
      <c r="F36" s="179">
        <v>-1159858</v>
      </c>
      <c r="G36" s="179">
        <v>-1149747</v>
      </c>
      <c r="H36" s="179">
        <v>-1574050</v>
      </c>
      <c r="I36" s="180">
        <v>-2081299</v>
      </c>
    </row>
    <row r="37" spans="1:9" ht="15" thickBot="1" x14ac:dyDescent="0.4">
      <c r="A37" s="173"/>
      <c r="B37" s="183"/>
      <c r="C37" s="179"/>
      <c r="D37" s="179"/>
      <c r="E37" s="179"/>
      <c r="F37" s="179"/>
      <c r="G37" s="179"/>
      <c r="H37" s="179"/>
      <c r="I37" s="180"/>
    </row>
    <row r="38" spans="1:9" ht="15" thickBot="1" x14ac:dyDescent="0.4">
      <c r="A38" s="184" t="s">
        <v>312</v>
      </c>
      <c r="B38" s="184" t="s">
        <v>313</v>
      </c>
      <c r="C38" s="186">
        <f t="shared" ref="C38:I38" si="2">C33+C35+C36</f>
        <v>9606069.7400000691</v>
      </c>
      <c r="D38" s="186">
        <f t="shared" si="2"/>
        <v>3396708.3699999992</v>
      </c>
      <c r="E38" s="186">
        <f t="shared" si="2"/>
        <v>-7435411.9129000138</v>
      </c>
      <c r="F38" s="186">
        <f t="shared" si="2"/>
        <v>24263477.020735841</v>
      </c>
      <c r="G38" s="186">
        <f t="shared" si="2"/>
        <v>-4583837</v>
      </c>
      <c r="H38" s="186">
        <f t="shared" si="2"/>
        <v>-4129052.0685039181</v>
      </c>
      <c r="I38" s="187">
        <f t="shared" si="2"/>
        <v>5635684</v>
      </c>
    </row>
    <row r="39" spans="1:9" x14ac:dyDescent="0.35">
      <c r="A39" s="173"/>
      <c r="B39" s="183"/>
      <c r="C39" s="188"/>
      <c r="D39" s="188"/>
      <c r="E39" s="188"/>
      <c r="F39" s="188"/>
      <c r="G39" s="188"/>
      <c r="H39" s="188"/>
      <c r="I39" s="189"/>
    </row>
    <row r="40" spans="1:9" ht="15" thickBot="1" x14ac:dyDescent="0.4">
      <c r="A40" s="190" t="s">
        <v>314</v>
      </c>
      <c r="B40" s="191" t="s">
        <v>315</v>
      </c>
      <c r="C40" s="188"/>
      <c r="D40" s="188"/>
      <c r="E40" s="188"/>
      <c r="F40" s="188"/>
      <c r="G40" s="188"/>
      <c r="H40" s="188"/>
      <c r="I40" s="189"/>
    </row>
    <row r="41" spans="1:9" x14ac:dyDescent="0.35">
      <c r="A41" s="173" t="s">
        <v>316</v>
      </c>
      <c r="B41" s="173" t="s">
        <v>317</v>
      </c>
      <c r="C41" s="179">
        <v>0</v>
      </c>
      <c r="D41" s="179">
        <v>0</v>
      </c>
      <c r="E41" s="179">
        <v>0</v>
      </c>
      <c r="F41" s="179">
        <v>0</v>
      </c>
      <c r="G41" s="179"/>
      <c r="H41" s="179"/>
      <c r="I41" s="180"/>
    </row>
    <row r="42" spans="1:9" x14ac:dyDescent="0.35">
      <c r="A42" s="173" t="s">
        <v>318</v>
      </c>
      <c r="B42" s="173" t="s">
        <v>319</v>
      </c>
      <c r="C42" s="179">
        <v>3652.64</v>
      </c>
      <c r="D42" s="179">
        <v>91477.24</v>
      </c>
      <c r="E42" s="179">
        <v>86264</v>
      </c>
      <c r="F42" s="179">
        <v>105139</v>
      </c>
      <c r="G42" s="179">
        <v>128719</v>
      </c>
      <c r="H42" s="179">
        <v>316730</v>
      </c>
      <c r="I42" s="180">
        <v>983890</v>
      </c>
    </row>
    <row r="43" spans="1:9" x14ac:dyDescent="0.35">
      <c r="A43" s="173" t="s">
        <v>320</v>
      </c>
      <c r="B43" s="173" t="s">
        <v>321</v>
      </c>
      <c r="C43" s="179">
        <v>1157997.23</v>
      </c>
      <c r="D43" s="179">
        <v>1117269.6399999999</v>
      </c>
      <c r="E43" s="179">
        <v>0</v>
      </c>
      <c r="F43" s="179">
        <v>0</v>
      </c>
      <c r="G43" s="179"/>
      <c r="H43" s="179">
        <v>7166500</v>
      </c>
      <c r="I43" s="180">
        <v>39579200</v>
      </c>
    </row>
    <row r="44" spans="1:9" x14ac:dyDescent="0.35">
      <c r="A44" s="173" t="s">
        <v>322</v>
      </c>
      <c r="B44" s="173" t="s">
        <v>323</v>
      </c>
      <c r="C44" s="179">
        <v>-8340112.7100000037</v>
      </c>
      <c r="D44" s="179">
        <v>-3091314.56</v>
      </c>
      <c r="E44" s="179">
        <v>-2189850.5499999998</v>
      </c>
      <c r="F44" s="179">
        <v>-1148663.9200000002</v>
      </c>
      <c r="G44" s="179">
        <v>-3657007</v>
      </c>
      <c r="H44" s="179">
        <v>-5756881</v>
      </c>
      <c r="I44" s="180">
        <v>-13307466</v>
      </c>
    </row>
    <row r="45" spans="1:9" s="7" customFormat="1" x14ac:dyDescent="0.35">
      <c r="A45" s="173" t="s">
        <v>324</v>
      </c>
      <c r="B45" s="173" t="s">
        <v>325</v>
      </c>
      <c r="C45" s="179">
        <v>0</v>
      </c>
      <c r="D45" s="179">
        <v>0</v>
      </c>
      <c r="E45" s="179">
        <v>0</v>
      </c>
      <c r="F45" s="179">
        <v>0</v>
      </c>
      <c r="G45" s="179"/>
      <c r="H45" s="179"/>
      <c r="I45" s="180"/>
    </row>
    <row r="46" spans="1:9" x14ac:dyDescent="0.35">
      <c r="A46" s="173" t="s">
        <v>326</v>
      </c>
      <c r="B46" s="173" t="s">
        <v>327</v>
      </c>
      <c r="C46" s="179">
        <v>3575112.43</v>
      </c>
      <c r="D46" s="179">
        <v>18086180</v>
      </c>
      <c r="E46" s="179">
        <v>0</v>
      </c>
      <c r="F46" s="179">
        <v>1191675</v>
      </c>
      <c r="G46" s="179">
        <v>2862617</v>
      </c>
      <c r="H46" s="179">
        <v>2373151</v>
      </c>
      <c r="I46" s="180">
        <v>0</v>
      </c>
    </row>
    <row r="47" spans="1:9" x14ac:dyDescent="0.35">
      <c r="A47" s="173" t="s">
        <v>328</v>
      </c>
      <c r="B47" s="173" t="s">
        <v>329</v>
      </c>
      <c r="C47" s="179">
        <v>1821662.9</v>
      </c>
      <c r="D47" s="179">
        <v>94611.51</v>
      </c>
      <c r="E47" s="179">
        <v>157638</v>
      </c>
      <c r="F47" s="179">
        <v>2436</v>
      </c>
      <c r="G47" s="179">
        <v>517739</v>
      </c>
      <c r="H47" s="179">
        <v>915614</v>
      </c>
      <c r="I47" s="180">
        <v>0</v>
      </c>
    </row>
    <row r="48" spans="1:9" x14ac:dyDescent="0.35">
      <c r="A48" s="173" t="s">
        <v>330</v>
      </c>
      <c r="B48" s="173" t="s">
        <v>331</v>
      </c>
      <c r="C48" s="179">
        <v>0</v>
      </c>
      <c r="D48" s="179">
        <v>0</v>
      </c>
      <c r="E48" s="179">
        <v>0</v>
      </c>
      <c r="F48" s="179">
        <v>0</v>
      </c>
      <c r="G48" s="179">
        <v>-3164051</v>
      </c>
      <c r="H48" s="179">
        <v>0</v>
      </c>
      <c r="I48" s="180">
        <v>7752606</v>
      </c>
    </row>
    <row r="49" spans="1:9" x14ac:dyDescent="0.35">
      <c r="A49" s="173" t="s">
        <v>332</v>
      </c>
      <c r="B49" s="173" t="s">
        <v>333</v>
      </c>
      <c r="C49" s="179">
        <v>0</v>
      </c>
      <c r="D49" s="179">
        <v>0</v>
      </c>
      <c r="E49" s="179">
        <v>16186151</v>
      </c>
      <c r="F49" s="179">
        <v>4062150</v>
      </c>
      <c r="G49" s="179">
        <v>0</v>
      </c>
      <c r="H49" s="179">
        <v>0</v>
      </c>
      <c r="I49" s="180"/>
    </row>
    <row r="50" spans="1:9" x14ac:dyDescent="0.35">
      <c r="A50" s="173" t="s">
        <v>334</v>
      </c>
      <c r="B50" s="173" t="s">
        <v>335</v>
      </c>
      <c r="C50" s="179">
        <v>597187</v>
      </c>
      <c r="D50" s="179">
        <v>0</v>
      </c>
      <c r="E50" s="179">
        <v>0</v>
      </c>
      <c r="F50" s="179">
        <v>0</v>
      </c>
      <c r="G50" s="179"/>
      <c r="H50" s="179"/>
      <c r="I50" s="180"/>
    </row>
    <row r="51" spans="1:9" x14ac:dyDescent="0.35">
      <c r="A51" s="173" t="s">
        <v>336</v>
      </c>
      <c r="B51" s="173" t="s">
        <v>337</v>
      </c>
      <c r="C51" s="179"/>
      <c r="D51" s="179"/>
      <c r="E51" s="179"/>
      <c r="F51" s="179"/>
      <c r="G51" s="179"/>
      <c r="H51" s="179">
        <v>912179.25</v>
      </c>
      <c r="I51" s="180">
        <v>0</v>
      </c>
    </row>
    <row r="52" spans="1:9" x14ac:dyDescent="0.35">
      <c r="A52" s="173" t="s">
        <v>338</v>
      </c>
      <c r="B52" s="173" t="s">
        <v>339</v>
      </c>
      <c r="C52" s="179">
        <v>0</v>
      </c>
      <c r="D52" s="179">
        <v>-6174452</v>
      </c>
      <c r="E52" s="179">
        <v>1436810.5</v>
      </c>
      <c r="F52" s="179">
        <f>-258311.4+47768</f>
        <v>-210543.4</v>
      </c>
      <c r="G52" s="179">
        <v>-694542.51</v>
      </c>
      <c r="H52" s="179">
        <v>0</v>
      </c>
      <c r="I52" s="180"/>
    </row>
    <row r="53" spans="1:9" x14ac:dyDescent="0.35">
      <c r="A53" s="173" t="s">
        <v>340</v>
      </c>
      <c r="B53" s="173" t="s">
        <v>341</v>
      </c>
      <c r="C53" s="179"/>
      <c r="D53" s="179"/>
      <c r="E53" s="179"/>
      <c r="F53" s="179"/>
      <c r="G53" s="179"/>
      <c r="H53" s="179">
        <v>-1000</v>
      </c>
      <c r="I53" s="180"/>
    </row>
    <row r="54" spans="1:9" x14ac:dyDescent="0.35">
      <c r="A54" s="173" t="s">
        <v>342</v>
      </c>
      <c r="B54" s="173" t="s">
        <v>343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0</v>
      </c>
      <c r="I54" s="180">
        <v>20147966</v>
      </c>
    </row>
    <row r="55" spans="1:9" x14ac:dyDescent="0.35">
      <c r="A55" s="173" t="s">
        <v>344</v>
      </c>
      <c r="B55" s="173" t="s">
        <v>345</v>
      </c>
      <c r="C55" s="179">
        <v>-33918</v>
      </c>
      <c r="D55" s="179">
        <v>-19139</v>
      </c>
      <c r="E55" s="179">
        <v>0</v>
      </c>
      <c r="F55" s="179">
        <v>-215514</v>
      </c>
      <c r="G55" s="179">
        <v>8254.3899999998976</v>
      </c>
      <c r="H55" s="179">
        <v>-153218.91000000003</v>
      </c>
      <c r="I55" s="180">
        <v>-593862</v>
      </c>
    </row>
    <row r="56" spans="1:9" ht="15" thickBot="1" x14ac:dyDescent="0.4">
      <c r="A56" s="173"/>
      <c r="B56" s="173"/>
      <c r="C56" s="188"/>
      <c r="D56" s="188"/>
      <c r="E56" s="188"/>
      <c r="F56" s="188"/>
      <c r="G56" s="188"/>
      <c r="H56" s="188"/>
      <c r="I56" s="189"/>
    </row>
    <row r="57" spans="1:9" ht="15" thickBot="1" x14ac:dyDescent="0.4">
      <c r="A57" s="184" t="s">
        <v>346</v>
      </c>
      <c r="B57" s="184" t="s">
        <v>347</v>
      </c>
      <c r="C57" s="186">
        <f t="shared" ref="C57:H57" si="3">SUM(C41:C55)</f>
        <v>-1218418.5100000035</v>
      </c>
      <c r="D57" s="186">
        <f t="shared" si="3"/>
        <v>10104632.83</v>
      </c>
      <c r="E57" s="186">
        <f t="shared" si="3"/>
        <v>15677012.949999999</v>
      </c>
      <c r="F57" s="186">
        <f t="shared" si="3"/>
        <v>3786678.68</v>
      </c>
      <c r="G57" s="186">
        <f t="shared" si="3"/>
        <v>-3998271.12</v>
      </c>
      <c r="H57" s="186">
        <f t="shared" si="3"/>
        <v>5773074.3399999999</v>
      </c>
      <c r="I57" s="187">
        <f>SUM(I41:I55)</f>
        <v>54562334</v>
      </c>
    </row>
    <row r="58" spans="1:9" x14ac:dyDescent="0.35">
      <c r="A58" s="173"/>
      <c r="B58" s="173"/>
      <c r="C58" s="188"/>
      <c r="D58" s="188"/>
      <c r="E58" s="188"/>
      <c r="F58" s="188"/>
      <c r="G58" s="188"/>
      <c r="H58" s="188"/>
      <c r="I58" s="189"/>
    </row>
    <row r="59" spans="1:9" ht="15" thickBot="1" x14ac:dyDescent="0.4">
      <c r="A59" s="190" t="s">
        <v>348</v>
      </c>
      <c r="B59" s="190"/>
      <c r="C59" s="188"/>
      <c r="D59" s="188"/>
      <c r="E59" s="188"/>
      <c r="F59" s="188"/>
      <c r="G59" s="188"/>
      <c r="H59" s="188"/>
      <c r="I59" s="189"/>
    </row>
    <row r="60" spans="1:9" x14ac:dyDescent="0.35">
      <c r="A60" s="173" t="s">
        <v>349</v>
      </c>
      <c r="B60" s="173" t="s">
        <v>350</v>
      </c>
      <c r="C60" s="179">
        <v>-1105060.78</v>
      </c>
      <c r="D60" s="179">
        <v>-86797.22</v>
      </c>
      <c r="E60" s="179">
        <v>0</v>
      </c>
      <c r="F60" s="179">
        <v>0</v>
      </c>
      <c r="G60" s="179"/>
      <c r="H60" s="179"/>
      <c r="I60" s="180"/>
    </row>
    <row r="61" spans="1:9" x14ac:dyDescent="0.35">
      <c r="A61" s="192" t="s">
        <v>351</v>
      </c>
      <c r="B61" s="192" t="s">
        <v>352</v>
      </c>
      <c r="C61" s="179">
        <v>-8331749.4200000996</v>
      </c>
      <c r="D61" s="179">
        <v>-10651253.099999951</v>
      </c>
      <c r="E61" s="179">
        <v>-4990888.0199999996</v>
      </c>
      <c r="F61" s="179">
        <v>-16011002.799584899</v>
      </c>
      <c r="G61" s="179">
        <v>6433108</v>
      </c>
      <c r="H61" s="179">
        <v>-1002827.0514960843</v>
      </c>
      <c r="I61" s="193">
        <v>-4636779</v>
      </c>
    </row>
    <row r="62" spans="1:9" x14ac:dyDescent="0.35">
      <c r="A62" s="173" t="s">
        <v>336</v>
      </c>
      <c r="B62" s="173" t="s">
        <v>337</v>
      </c>
      <c r="C62" s="179"/>
      <c r="D62" s="179"/>
      <c r="E62" s="179"/>
      <c r="F62" s="179">
        <v>0</v>
      </c>
      <c r="G62" s="179"/>
      <c r="H62" s="179"/>
      <c r="I62" s="180"/>
    </row>
    <row r="63" spans="1:9" x14ac:dyDescent="0.35">
      <c r="A63" s="173" t="s">
        <v>353</v>
      </c>
      <c r="B63" s="173" t="s">
        <v>354</v>
      </c>
      <c r="C63" s="179">
        <v>-2037152.76</v>
      </c>
      <c r="D63" s="179">
        <v>-1961296.97</v>
      </c>
      <c r="E63" s="179">
        <v>-1032280</v>
      </c>
      <c r="F63" s="179">
        <v>0</v>
      </c>
      <c r="G63" s="179">
        <v>-2641221</v>
      </c>
      <c r="H63" s="179">
        <v>-10666862.290000001</v>
      </c>
      <c r="I63" s="180">
        <v>-28951452</v>
      </c>
    </row>
    <row r="64" spans="1:9" ht="15" thickBot="1" x14ac:dyDescent="0.4">
      <c r="A64" s="173"/>
      <c r="B64" s="173"/>
      <c r="C64" s="188"/>
      <c r="D64" s="188"/>
      <c r="E64" s="188"/>
      <c r="F64" s="188"/>
      <c r="G64" s="188"/>
      <c r="H64" s="188"/>
      <c r="I64" s="189"/>
    </row>
    <row r="65" spans="1:9" ht="15" thickBot="1" x14ac:dyDescent="0.4">
      <c r="A65" s="184" t="s">
        <v>355</v>
      </c>
      <c r="B65" s="184" t="s">
        <v>356</v>
      </c>
      <c r="C65" s="186">
        <f t="shared" ref="C65:I65" si="4">SUM(C60:C63)</f>
        <v>-11473962.9600001</v>
      </c>
      <c r="D65" s="186">
        <f t="shared" si="4"/>
        <v>-12699347.289999953</v>
      </c>
      <c r="E65" s="186">
        <f t="shared" si="4"/>
        <v>-6023168.0199999996</v>
      </c>
      <c r="F65" s="186">
        <f t="shared" si="4"/>
        <v>-16011002.799584899</v>
      </c>
      <c r="G65" s="186">
        <f t="shared" si="4"/>
        <v>3791887</v>
      </c>
      <c r="H65" s="186">
        <f t="shared" si="4"/>
        <v>-11669689.341496086</v>
      </c>
      <c r="I65" s="194">
        <f t="shared" si="4"/>
        <v>-33588231</v>
      </c>
    </row>
    <row r="66" spans="1:9" ht="15" thickBot="1" x14ac:dyDescent="0.4">
      <c r="A66" s="173"/>
      <c r="B66" s="173"/>
      <c r="C66" s="188"/>
      <c r="D66" s="188"/>
      <c r="E66" s="188"/>
      <c r="F66" s="188"/>
      <c r="G66" s="188"/>
      <c r="H66" s="188"/>
      <c r="I66" s="195"/>
    </row>
    <row r="67" spans="1:9" ht="29.5" thickBot="1" x14ac:dyDescent="0.4">
      <c r="A67" s="184" t="s">
        <v>357</v>
      </c>
      <c r="B67" s="184" t="s">
        <v>358</v>
      </c>
      <c r="C67" s="186">
        <f t="shared" ref="C67:H67" si="5">C65+C57+C38</f>
        <v>-3086311.730000034</v>
      </c>
      <c r="D67" s="186">
        <f t="shared" si="5"/>
        <v>801993.91000004672</v>
      </c>
      <c r="E67" s="186">
        <f t="shared" si="5"/>
        <v>2218433.0170999859</v>
      </c>
      <c r="F67" s="186">
        <f t="shared" si="5"/>
        <v>12039152.901150942</v>
      </c>
      <c r="G67" s="186">
        <f t="shared" si="5"/>
        <v>-4790221.12</v>
      </c>
      <c r="H67" s="186">
        <f t="shared" si="5"/>
        <v>-10025667.070000004</v>
      </c>
      <c r="I67" s="187">
        <f>I65+I57+I38</f>
        <v>26609787</v>
      </c>
    </row>
    <row r="68" spans="1:9" x14ac:dyDescent="0.35">
      <c r="A68" s="173"/>
      <c r="B68" s="173"/>
      <c r="C68" s="188"/>
      <c r="D68" s="188"/>
      <c r="E68" s="188"/>
      <c r="F68" s="188"/>
      <c r="G68" s="188"/>
      <c r="H68" s="188"/>
      <c r="I68" s="189"/>
    </row>
    <row r="69" spans="1:9" ht="29" x14ac:dyDescent="0.35">
      <c r="A69" s="173" t="s">
        <v>359</v>
      </c>
      <c r="B69" s="173" t="s">
        <v>144</v>
      </c>
      <c r="C69" s="179">
        <v>5615329.0076000355</v>
      </c>
      <c r="D69" s="179">
        <v>2529017.2776000015</v>
      </c>
      <c r="E69" s="179">
        <v>3331011.1876000511</v>
      </c>
      <c r="F69" s="179">
        <v>5549445.1199999992</v>
      </c>
      <c r="G69" s="179">
        <f>F73</f>
        <v>17588598.021150939</v>
      </c>
      <c r="H69" s="179">
        <f>G73</f>
        <v>12798376.901150938</v>
      </c>
      <c r="I69" s="180">
        <f>H73</f>
        <v>2772709.8311509341</v>
      </c>
    </row>
    <row r="70" spans="1:9" x14ac:dyDescent="0.35">
      <c r="A70" s="173"/>
      <c r="B70" s="173"/>
      <c r="C70" s="179"/>
      <c r="D70" s="179"/>
      <c r="E70" s="179"/>
      <c r="F70" s="179"/>
      <c r="G70" s="179"/>
      <c r="H70" s="179"/>
      <c r="I70" s="180"/>
    </row>
    <row r="71" spans="1:9" ht="29" x14ac:dyDescent="0.35">
      <c r="A71" s="173" t="s">
        <v>360</v>
      </c>
      <c r="B71" s="173" t="s">
        <v>361</v>
      </c>
      <c r="C71" s="179">
        <v>0</v>
      </c>
      <c r="D71" s="179">
        <v>0</v>
      </c>
      <c r="E71" s="179">
        <v>0</v>
      </c>
      <c r="F71" s="179">
        <v>0</v>
      </c>
      <c r="G71" s="179">
        <v>0</v>
      </c>
      <c r="H71" s="179">
        <v>0</v>
      </c>
      <c r="I71" s="180">
        <v>0</v>
      </c>
    </row>
    <row r="72" spans="1:9" ht="15" thickBot="1" x14ac:dyDescent="0.4">
      <c r="A72" s="173"/>
      <c r="B72" s="173"/>
      <c r="C72" s="188"/>
      <c r="D72" s="188"/>
      <c r="E72" s="188"/>
      <c r="F72" s="188"/>
      <c r="G72" s="188"/>
      <c r="H72" s="188"/>
      <c r="I72" s="189"/>
    </row>
    <row r="73" spans="1:9" ht="29.5" thickBot="1" x14ac:dyDescent="0.4">
      <c r="A73" s="184" t="s">
        <v>362</v>
      </c>
      <c r="B73" s="184" t="s">
        <v>145</v>
      </c>
      <c r="C73" s="196">
        <f t="shared" ref="C73:I73" si="6">C67+C69+C71</f>
        <v>2529017.2776000015</v>
      </c>
      <c r="D73" s="196">
        <f t="shared" si="6"/>
        <v>3331011.1876000483</v>
      </c>
      <c r="E73" s="196">
        <f t="shared" si="6"/>
        <v>5549444.2047000369</v>
      </c>
      <c r="F73" s="196">
        <f t="shared" si="6"/>
        <v>17588598.021150939</v>
      </c>
      <c r="G73" s="196">
        <f t="shared" si="6"/>
        <v>12798376.901150938</v>
      </c>
      <c r="H73" s="196">
        <f t="shared" si="6"/>
        <v>2772709.8311509341</v>
      </c>
      <c r="I73" s="197">
        <f t="shared" si="6"/>
        <v>29382496.831150934</v>
      </c>
    </row>
    <row r="75" spans="1:9" x14ac:dyDescent="0.35">
      <c r="A75" s="147"/>
      <c r="B75" s="147"/>
      <c r="C75" s="148"/>
      <c r="D75" s="148"/>
      <c r="E75" s="148"/>
      <c r="F75" s="148"/>
      <c r="G75" s="148"/>
      <c r="H75" s="148"/>
      <c r="I75" s="148"/>
    </row>
    <row r="76" spans="1:9" x14ac:dyDescent="0.35">
      <c r="C76" s="148">
        <f>C73-'1.FinancialPosition'!B14</f>
        <v>-0.18239999888464808</v>
      </c>
      <c r="D76" s="148">
        <f>D73-'1.FinancialPosition'!C14</f>
        <v>0.67760004801675677</v>
      </c>
      <c r="E76" s="148">
        <f>E73-'1.FinancialPosition'!D14</f>
        <v>-0.91529996227473021</v>
      </c>
      <c r="F76" s="148">
        <f>F73-'1.FinancialPosition'!E14</f>
        <v>-0.10884905979037285</v>
      </c>
      <c r="G76" s="148">
        <f>G73-'1.FinancialPosition'!F14</f>
        <v>-9.8849061876535416E-2</v>
      </c>
      <c r="H76" s="148">
        <f>H73-'1.FinancialPosition'!G14</f>
        <v>0.83115093410015106</v>
      </c>
      <c r="I76" s="148">
        <f>I73-'1.FinancialPosition'!H14</f>
        <v>-0.16884906589984894</v>
      </c>
    </row>
    <row r="78" spans="1:9" x14ac:dyDescent="0.35">
      <c r="C78" s="148"/>
      <c r="D78" s="148"/>
      <c r="E78" s="148"/>
      <c r="F78" s="148"/>
      <c r="G78" s="148"/>
      <c r="H78" s="148"/>
      <c r="I78" s="14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39"/>
  <sheetViews>
    <sheetView showGridLines="0"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N13" sqref="N13"/>
    </sheetView>
  </sheetViews>
  <sheetFormatPr defaultColWidth="9.08984375" defaultRowHeight="14.5" x14ac:dyDescent="0.35"/>
  <cols>
    <col min="1" max="1" width="37.6328125" style="1" hidden="1" customWidth="1"/>
    <col min="2" max="2" width="43.08984375" style="1" hidden="1" customWidth="1"/>
    <col min="3" max="3" width="33.54296875" style="1" customWidth="1"/>
    <col min="4" max="4" width="41.36328125" style="1" customWidth="1"/>
    <col min="5" max="5" width="12.453125" style="1" bestFit="1" customWidth="1"/>
    <col min="6" max="6" width="12.36328125" style="1" bestFit="1" customWidth="1"/>
    <col min="7" max="7" width="12" style="1" bestFit="1" customWidth="1"/>
    <col min="8" max="8" width="11.7265625" style="1" bestFit="1" customWidth="1"/>
    <col min="9" max="9" width="12.6328125" style="1" bestFit="1" customWidth="1"/>
    <col min="10" max="10" width="12.81640625" style="1" bestFit="1" customWidth="1"/>
    <col min="11" max="11" width="12.1796875" style="1" bestFit="1" customWidth="1"/>
    <col min="12" max="12" width="9.08984375" style="1"/>
    <col min="13" max="13" width="14.36328125" style="1" bestFit="1" customWidth="1"/>
    <col min="14" max="14" width="24.6328125" style="1" bestFit="1" customWidth="1"/>
    <col min="15" max="15" width="13.36328125" style="1" bestFit="1" customWidth="1"/>
    <col min="16" max="16" width="3.08984375" style="1" bestFit="1" customWidth="1"/>
    <col min="17" max="17" width="4.453125" style="1" bestFit="1" customWidth="1"/>
    <col min="18" max="19" width="3.08984375" style="1" bestFit="1" customWidth="1"/>
    <col min="20" max="16384" width="9.08984375" style="1"/>
  </cols>
  <sheetData>
    <row r="2" spans="1:26" ht="15" thickBot="1" x14ac:dyDescent="0.4">
      <c r="K2" s="53"/>
    </row>
    <row r="3" spans="1:26" ht="18.75" customHeight="1" thickBot="1" x14ac:dyDescent="0.4">
      <c r="A3" s="30" t="s">
        <v>0</v>
      </c>
      <c r="B3" s="30" t="s">
        <v>76</v>
      </c>
      <c r="C3" s="218" t="s">
        <v>0</v>
      </c>
      <c r="D3" s="218" t="s">
        <v>76</v>
      </c>
      <c r="E3" s="219">
        <v>2017</v>
      </c>
      <c r="F3" s="219">
        <f>E3+1</f>
        <v>2018</v>
      </c>
      <c r="G3" s="219">
        <f t="shared" ref="G3:K3" si="0">F3+1</f>
        <v>2019</v>
      </c>
      <c r="H3" s="219">
        <f t="shared" si="0"/>
        <v>2020</v>
      </c>
      <c r="I3" s="219">
        <f t="shared" si="0"/>
        <v>2021</v>
      </c>
      <c r="J3" s="219">
        <f t="shared" si="0"/>
        <v>2022</v>
      </c>
      <c r="K3" s="219">
        <f t="shared" si="0"/>
        <v>2023</v>
      </c>
    </row>
    <row r="4" spans="1:26" x14ac:dyDescent="0.35">
      <c r="A4" s="10" t="s">
        <v>99</v>
      </c>
      <c r="B4" s="10" t="s">
        <v>110</v>
      </c>
      <c r="C4" s="221" t="s">
        <v>99</v>
      </c>
      <c r="D4" s="222" t="s">
        <v>124</v>
      </c>
      <c r="E4" s="10">
        <f>'EBIT-EBITDA'!C6</f>
        <v>7325989.7299999949</v>
      </c>
      <c r="F4" s="10">
        <f>'EBIT-EBITDA'!D6</f>
        <v>6168891.1000000173</v>
      </c>
      <c r="G4" s="10">
        <f>'EBIT-EBITDA'!E6</f>
        <v>2060147.2999999819</v>
      </c>
      <c r="H4" s="10">
        <f>'EBIT-EBITDA'!F6</f>
        <v>2267260.4399999618</v>
      </c>
      <c r="I4" s="10">
        <f>'EBIT-EBITDA'!G6</f>
        <v>394684</v>
      </c>
      <c r="J4" s="10">
        <f>'EBIT-EBITDA'!H6</f>
        <v>53670160</v>
      </c>
      <c r="K4" s="220">
        <f>'EBIT-EBITDA'!I6</f>
        <v>5303794</v>
      </c>
      <c r="M4" s="83"/>
      <c r="N4" s="83"/>
      <c r="O4" s="83"/>
      <c r="P4" s="83"/>
      <c r="Q4" s="83"/>
      <c r="R4" s="83"/>
      <c r="S4" s="83"/>
      <c r="X4" s="150"/>
      <c r="Y4" s="150"/>
      <c r="Z4" s="150"/>
    </row>
    <row r="5" spans="1:26" x14ac:dyDescent="0.35">
      <c r="A5" s="10" t="s">
        <v>75</v>
      </c>
      <c r="B5" s="10" t="s">
        <v>110</v>
      </c>
      <c r="C5" s="221" t="s">
        <v>75</v>
      </c>
      <c r="D5" s="222" t="s">
        <v>124</v>
      </c>
      <c r="E5" s="10">
        <f>'EBIT-EBITDA'!C9</f>
        <v>15768480.169999992</v>
      </c>
      <c r="F5" s="10">
        <f>'EBIT-EBITDA'!D9</f>
        <v>14702840.760000018</v>
      </c>
      <c r="G5" s="10">
        <f>'EBIT-EBITDA'!E9</f>
        <v>10419423.999999983</v>
      </c>
      <c r="H5" s="10">
        <f>'EBIT-EBITDA'!F9</f>
        <v>10207662.439999962</v>
      </c>
      <c r="I5" s="10">
        <f>'EBIT-EBITDA'!G9</f>
        <v>8112816</v>
      </c>
      <c r="J5" s="10">
        <f>'EBIT-EBITDA'!H9</f>
        <v>61072654</v>
      </c>
      <c r="K5" s="220">
        <f>'EBIT-EBITDA'!I9</f>
        <v>12582621</v>
      </c>
      <c r="M5" s="83"/>
      <c r="N5" s="83"/>
      <c r="O5" s="83"/>
      <c r="P5" s="83"/>
      <c r="Q5" s="83"/>
      <c r="R5" s="83"/>
      <c r="S5" s="83"/>
      <c r="X5" s="150"/>
      <c r="Y5" s="150"/>
      <c r="Z5" s="150"/>
    </row>
    <row r="6" spans="1:26" x14ac:dyDescent="0.35">
      <c r="A6" s="10" t="s">
        <v>80</v>
      </c>
      <c r="B6" s="10" t="s">
        <v>138</v>
      </c>
      <c r="C6" s="221" t="s">
        <v>111</v>
      </c>
      <c r="D6" s="222" t="s">
        <v>148</v>
      </c>
      <c r="E6" s="10">
        <f>'2.Comprehensive income'!C4+'2.Comprehensive income'!C45</f>
        <v>197966577.54999998</v>
      </c>
      <c r="F6" s="10">
        <f>'2.Comprehensive income'!D4+'2.Comprehensive income'!D45</f>
        <v>200716404.81000003</v>
      </c>
      <c r="G6" s="10">
        <f>'2.Comprehensive income'!E4+'2.Comprehensive income'!E45</f>
        <v>185722303.66999996</v>
      </c>
      <c r="H6" s="10">
        <f>'2.Comprehensive income'!F4+'2.Comprehensive income'!F45</f>
        <v>182851591.98999998</v>
      </c>
      <c r="I6" s="10">
        <f>'2.Comprehensive income'!G4+'2.Comprehensive income'!G45</f>
        <v>266937602</v>
      </c>
      <c r="J6" s="10">
        <f>'2.Comprehensive income'!H4+'2.Comprehensive income'!H45</f>
        <v>265048639</v>
      </c>
      <c r="K6" s="220">
        <f>'2.Comprehensive income'!I4+'2.Comprehensive income'!I45</f>
        <v>216420862</v>
      </c>
      <c r="M6" s="83"/>
      <c r="N6" s="83"/>
      <c r="O6" s="83"/>
      <c r="P6" s="83"/>
      <c r="Q6" s="83"/>
      <c r="R6" s="83"/>
      <c r="S6" s="83"/>
      <c r="X6" s="150"/>
      <c r="Y6" s="150"/>
      <c r="Z6" s="150"/>
    </row>
    <row r="7" spans="1:26" x14ac:dyDescent="0.35">
      <c r="A7" s="1" t="s">
        <v>77</v>
      </c>
      <c r="B7" s="10" t="s">
        <v>91</v>
      </c>
      <c r="C7" s="221" t="s">
        <v>112</v>
      </c>
      <c r="D7" s="222" t="s">
        <v>125</v>
      </c>
      <c r="E7" s="35">
        <f>E5/E6</f>
        <v>7.965223405459633E-2</v>
      </c>
      <c r="F7" s="35">
        <f t="shared" ref="F7:I7" si="1">F5/F6</f>
        <v>7.3251814040401236E-2</v>
      </c>
      <c r="G7" s="35">
        <f t="shared" si="1"/>
        <v>5.6102168636211307E-2</v>
      </c>
      <c r="H7" s="35">
        <f t="shared" si="1"/>
        <v>5.5824848604863184E-2</v>
      </c>
      <c r="I7" s="35">
        <f t="shared" si="1"/>
        <v>3.0392181315841746E-2</v>
      </c>
      <c r="J7" s="35">
        <f t="shared" ref="J7:K7" si="2">J5/J6</f>
        <v>0.2304205531121403</v>
      </c>
      <c r="K7" s="223">
        <f t="shared" si="2"/>
        <v>5.8139593769846461E-2</v>
      </c>
      <c r="M7" s="83"/>
      <c r="N7" s="83"/>
      <c r="O7" s="83"/>
      <c r="P7" s="83"/>
      <c r="Q7" s="83"/>
      <c r="R7" s="83"/>
      <c r="S7" s="83"/>
      <c r="X7" s="151"/>
      <c r="Y7" s="151"/>
      <c r="Z7" s="151"/>
    </row>
    <row r="8" spans="1:26" x14ac:dyDescent="0.35">
      <c r="A8" s="1" t="s">
        <v>78</v>
      </c>
      <c r="B8" s="1" t="s">
        <v>92</v>
      </c>
      <c r="C8" s="221" t="s">
        <v>113</v>
      </c>
      <c r="D8" s="221" t="s">
        <v>126</v>
      </c>
      <c r="E8" s="35">
        <f>E5/'1.FinancialPosition'!B22</f>
        <v>0.11845168585044275</v>
      </c>
      <c r="F8" s="35">
        <f>F5/'1.FinancialPosition'!C22</f>
        <v>0.10717114345239286</v>
      </c>
      <c r="G8" s="35">
        <f>G5/'1.FinancialPosition'!D22</f>
        <v>7.6024084354601409E-2</v>
      </c>
      <c r="H8" s="35">
        <f>H5/'1.FinancialPosition'!E22</f>
        <v>7.3854820080472908E-2</v>
      </c>
      <c r="I8" s="35">
        <f>I5/'1.FinancialPosition'!F22</f>
        <v>6.0478014066000771E-2</v>
      </c>
      <c r="J8" s="35">
        <f>J5/'1.FinancialPosition'!G22</f>
        <v>0.38117293016880222</v>
      </c>
      <c r="K8" s="223">
        <f>K5/'1.FinancialPosition'!H22</f>
        <v>8.3430200727452636E-2</v>
      </c>
      <c r="M8" s="83"/>
      <c r="N8" s="83"/>
      <c r="O8" s="83"/>
      <c r="P8" s="83"/>
      <c r="Q8" s="83"/>
      <c r="R8" s="83"/>
      <c r="S8" s="83"/>
      <c r="X8" s="151"/>
      <c r="Y8" s="151"/>
      <c r="Z8" s="151"/>
    </row>
    <row r="9" spans="1:26" x14ac:dyDescent="0.35">
      <c r="A9" s="1" t="s">
        <v>79</v>
      </c>
      <c r="B9" s="1" t="s">
        <v>93</v>
      </c>
      <c r="C9" s="221" t="s">
        <v>114</v>
      </c>
      <c r="D9" s="221" t="s">
        <v>127</v>
      </c>
      <c r="E9" s="35">
        <f>'2.Comprehensive income'!C16/E6</f>
        <v>2.8986396193825575E-2</v>
      </c>
      <c r="F9" s="35">
        <f>'2.Comprehensive income'!D16/F6</f>
        <v>2.225058372397427E-2</v>
      </c>
      <c r="G9" s="35">
        <f>'2.Comprehensive income'!E16/G6</f>
        <v>3.1635401262518808E-3</v>
      </c>
      <c r="H9" s="35">
        <f>'2.Comprehensive income'!F16/H6</f>
        <v>6.0562909403628533E-3</v>
      </c>
      <c r="I9" s="35">
        <f>'2.Comprehensive income'!G16/I6</f>
        <v>-2.0917660000556986E-3</v>
      </c>
      <c r="J9" s="35">
        <f>'2.Comprehensive income'!H16/J6</f>
        <v>0.19763829460750409</v>
      </c>
      <c r="K9" s="223">
        <f>'2.Comprehensive income'!I16/K6</f>
        <v>1.6155244774877571E-2</v>
      </c>
      <c r="M9" s="83"/>
      <c r="N9" s="83"/>
      <c r="O9" s="83"/>
      <c r="P9" s="83"/>
      <c r="Q9" s="83"/>
      <c r="R9" s="83"/>
      <c r="S9" s="83"/>
      <c r="X9" s="151"/>
      <c r="Y9" s="151"/>
      <c r="Z9" s="151"/>
    </row>
    <row r="10" spans="1:26" x14ac:dyDescent="0.35">
      <c r="A10" s="1" t="s">
        <v>81</v>
      </c>
      <c r="B10" s="1" t="s">
        <v>94</v>
      </c>
      <c r="C10" s="221" t="s">
        <v>115</v>
      </c>
      <c r="D10" s="221" t="s">
        <v>128</v>
      </c>
      <c r="E10" s="36">
        <f>'1.FinancialPosition'!B16/'1.FinancialPosition'!B31</f>
        <v>0.79319678611568922</v>
      </c>
      <c r="F10" s="36">
        <f>'1.FinancialPosition'!C16/'1.FinancialPosition'!C31</f>
        <v>1.1512145385365147</v>
      </c>
      <c r="G10" s="36">
        <f>'1.FinancialPosition'!D16/'1.FinancialPosition'!D31</f>
        <v>1.1039275542547775</v>
      </c>
      <c r="H10" s="36">
        <f>'1.FinancialPosition'!E16/'1.FinancialPosition'!E31</f>
        <v>1.1571444819918941</v>
      </c>
      <c r="I10" s="36">
        <f>'1.FinancialPosition'!F16/'1.FinancialPosition'!F31</f>
        <v>1.18947280717453</v>
      </c>
      <c r="J10" s="36">
        <f>'1.FinancialPosition'!G16/'1.FinancialPosition'!G31</f>
        <v>1.4742601822691708</v>
      </c>
      <c r="K10" s="224">
        <f>'1.FinancialPosition'!H16/'1.FinancialPosition'!H31</f>
        <v>1.7689554765528499</v>
      </c>
      <c r="M10" s="83"/>
      <c r="N10" s="83"/>
      <c r="O10" s="83"/>
      <c r="P10" s="83"/>
      <c r="Q10" s="83"/>
      <c r="R10" s="83"/>
      <c r="S10" s="83"/>
      <c r="X10" s="151"/>
      <c r="Y10" s="151"/>
      <c r="Z10" s="151"/>
    </row>
    <row r="11" spans="1:26" x14ac:dyDescent="0.35">
      <c r="A11" s="1" t="s">
        <v>82</v>
      </c>
      <c r="B11" s="1" t="s">
        <v>95</v>
      </c>
      <c r="C11" s="221" t="s">
        <v>116</v>
      </c>
      <c r="D11" s="221" t="s">
        <v>129</v>
      </c>
      <c r="E11" s="36">
        <f>('1.FinancialPosition'!B16-'1.FinancialPosition'!B9)/'1.FinancialPosition'!B31</f>
        <v>0.47647723750314663</v>
      </c>
      <c r="F11" s="36">
        <f>('1.FinancialPosition'!C16-'1.FinancialPosition'!C9)/'1.FinancialPosition'!C31</f>
        <v>0.86392599047129714</v>
      </c>
      <c r="G11" s="36">
        <f>('1.FinancialPosition'!D16-'1.FinancialPosition'!D9)/'1.FinancialPosition'!D31</f>
        <v>0.76564967713731746</v>
      </c>
      <c r="H11" s="36">
        <f>('1.FinancialPosition'!E16-'1.FinancialPosition'!E9)/'1.FinancialPosition'!E31</f>
        <v>0.82836972848756563</v>
      </c>
      <c r="I11" s="36">
        <f>('1.FinancialPosition'!F16-'1.FinancialPosition'!F9)/'1.FinancialPosition'!F31</f>
        <v>0.87822470906859362</v>
      </c>
      <c r="J11" s="36">
        <f>('1.FinancialPosition'!G16-'1.FinancialPosition'!G9)/'1.FinancialPosition'!G31</f>
        <v>1.1732500415624376</v>
      </c>
      <c r="K11" s="224">
        <f>('1.FinancialPosition'!H16-'1.FinancialPosition'!H9)/'1.FinancialPosition'!H31</f>
        <v>1.3209014042603557</v>
      </c>
      <c r="M11" s="83"/>
      <c r="N11" s="83"/>
      <c r="O11" s="83"/>
      <c r="P11" s="83"/>
      <c r="Q11" s="83"/>
      <c r="R11" s="83"/>
      <c r="S11" s="83"/>
      <c r="X11" s="151"/>
      <c r="Y11" s="151"/>
      <c r="Z11" s="151"/>
    </row>
    <row r="12" spans="1:26" x14ac:dyDescent="0.35">
      <c r="A12" s="1" t="s">
        <v>83</v>
      </c>
      <c r="B12" s="1" t="s">
        <v>96</v>
      </c>
      <c r="C12" s="221" t="s">
        <v>122</v>
      </c>
      <c r="D12" s="221" t="s">
        <v>130</v>
      </c>
      <c r="E12" s="37">
        <f>'1.FinancialPosition'!B27/'1.FinancialPosition'!B22</f>
        <v>0.46083018838710216</v>
      </c>
      <c r="F12" s="37">
        <f>'1.FinancialPosition'!C27/'1.FinancialPosition'!C22</f>
        <v>0.32153662806227506</v>
      </c>
      <c r="G12" s="37">
        <f>'1.FinancialPosition'!D27/'1.FinancialPosition'!D22</f>
        <v>0.24963134328679032</v>
      </c>
      <c r="H12" s="37">
        <f>'1.FinancialPosition'!E27/'1.FinancialPosition'!E22</f>
        <v>0.18346612484681837</v>
      </c>
      <c r="I12" s="37">
        <f>'1.FinancialPosition'!F27/'1.FinancialPosition'!F22</f>
        <v>0.15692057604494056</v>
      </c>
      <c r="J12" s="37">
        <f>'1.FinancialPosition'!G27/'1.FinancialPosition'!G22</f>
        <v>0.12670226152423339</v>
      </c>
      <c r="K12" s="225">
        <f>'1.FinancialPosition'!H27/'1.FinancialPosition'!H22</f>
        <v>0.14082831398776929</v>
      </c>
      <c r="M12" s="83"/>
      <c r="N12" s="83"/>
      <c r="O12" s="83"/>
      <c r="P12" s="83"/>
      <c r="Q12" s="83"/>
      <c r="R12" s="83"/>
      <c r="S12" s="83"/>
      <c r="X12" s="151"/>
      <c r="Y12" s="151"/>
      <c r="Z12" s="151"/>
    </row>
    <row r="13" spans="1:26" x14ac:dyDescent="0.35">
      <c r="A13" s="1" t="s">
        <v>84</v>
      </c>
      <c r="B13" s="1" t="s">
        <v>97</v>
      </c>
      <c r="C13" s="221" t="s">
        <v>123</v>
      </c>
      <c r="D13" s="221" t="s">
        <v>131</v>
      </c>
      <c r="E13" s="37">
        <f>'1.FinancialPosition'!B32/'1.FinancialPosition'!B33</f>
        <v>0.50639405368343571</v>
      </c>
      <c r="F13" s="37">
        <f>'1.FinancialPosition'!C32/'1.FinancialPosition'!C33</f>
        <v>0.45847529837937478</v>
      </c>
      <c r="G13" s="37">
        <f>'1.FinancialPosition'!D32/'1.FinancialPosition'!D33</f>
        <v>0.4433099577458306</v>
      </c>
      <c r="H13" s="37">
        <f>'1.FinancialPosition'!E32/'1.FinancialPosition'!E33</f>
        <v>0.40259328061249716</v>
      </c>
      <c r="I13" s="37">
        <f>'1.FinancialPosition'!F32/'1.FinancialPosition'!F33</f>
        <v>0.4502774227677922</v>
      </c>
      <c r="J13" s="37">
        <f>'1.FinancialPosition'!G32/'1.FinancialPosition'!G33</f>
        <v>0.42791289788430387</v>
      </c>
      <c r="K13" s="225">
        <f>'1.FinancialPosition'!H32/'1.FinancialPosition'!H33</f>
        <v>0.37455529389265158</v>
      </c>
      <c r="M13" s="83"/>
      <c r="N13" s="83"/>
      <c r="O13" s="83"/>
      <c r="P13" s="83"/>
      <c r="Q13" s="83"/>
      <c r="R13" s="83"/>
      <c r="S13" s="83"/>
      <c r="X13" s="151"/>
      <c r="Y13" s="151"/>
      <c r="Z13" s="151"/>
    </row>
    <row r="14" spans="1:26" x14ac:dyDescent="0.35">
      <c r="A14" s="1" t="s">
        <v>85</v>
      </c>
      <c r="B14" s="1" t="s">
        <v>98</v>
      </c>
      <c r="C14" s="221" t="s">
        <v>161</v>
      </c>
      <c r="D14" s="221" t="s">
        <v>132</v>
      </c>
      <c r="E14" s="36">
        <f>'EBIT-EBITDA'!C6/'EBIT-EBITDA'!C5</f>
        <v>4.6143546324078724</v>
      </c>
      <c r="F14" s="36">
        <f>'EBIT-EBITDA'!D6/'EBIT-EBITDA'!D5</f>
        <v>3.6227203318646684</v>
      </c>
      <c r="G14" s="36">
        <f>'EBIT-EBITDA'!E6/'EBIT-EBITDA'!E5</f>
        <v>1.3989793776255264</v>
      </c>
      <c r="H14" s="36">
        <f>'EBIT-EBITDA'!F6/'EBIT-EBITDA'!F5</f>
        <v>1.9547741533877092</v>
      </c>
      <c r="I14" s="36">
        <f>'EBIT-EBITDA'!G6/'EBIT-EBITDA'!G5</f>
        <v>0.41412510295838123</v>
      </c>
      <c r="J14" s="36">
        <f>'EBIT-EBITDA'!H6/'EBIT-EBITDA'!H5</f>
        <v>41.721238900216804</v>
      </c>
      <c r="K14" s="224">
        <f>'EBIT-EBITDA'!I6/'EBIT-EBITDA'!I5</f>
        <v>2.9343875555889971</v>
      </c>
      <c r="M14" s="83"/>
      <c r="N14" s="83"/>
      <c r="O14" s="83"/>
      <c r="P14" s="83"/>
      <c r="Q14" s="83"/>
      <c r="R14" s="83"/>
      <c r="S14" s="83"/>
      <c r="X14" s="151"/>
      <c r="Y14" s="151"/>
      <c r="Z14" s="151"/>
    </row>
    <row r="15" spans="1:26" x14ac:dyDescent="0.35">
      <c r="A15" s="1" t="s">
        <v>86</v>
      </c>
      <c r="B15" s="1" t="s">
        <v>100</v>
      </c>
      <c r="C15" s="221" t="s">
        <v>117</v>
      </c>
      <c r="D15" s="221" t="s">
        <v>133</v>
      </c>
      <c r="E15" s="39">
        <f>(29483703.06+'1.FinancialPosition'!B10)/2/E6*360</f>
        <v>56.352211340231861</v>
      </c>
      <c r="F15" s="39">
        <f>('1.FinancialPosition'!B10+'1.FinancialPosition'!C10)/2/F6*360</f>
        <v>61.174983824681618</v>
      </c>
      <c r="G15" s="38">
        <f>('1.FinancialPosition'!C10+'1.FinancialPosition'!D10)/2/G6*360</f>
        <v>79.074408549737555</v>
      </c>
      <c r="H15" s="38">
        <f>('1.FinancialPosition'!D10+'1.FinancialPosition'!E10)/2/H6*360</f>
        <v>81.415906263556948</v>
      </c>
      <c r="I15" s="38">
        <f>('1.FinancialPosition'!E10+'1.FinancialPosition'!F10)/2/I6*360</f>
        <v>63.951771651863417</v>
      </c>
      <c r="J15" s="38">
        <f>('1.FinancialPosition'!F10+'1.FinancialPosition'!G10)/2/J6*360</f>
        <v>82.617395367949797</v>
      </c>
      <c r="K15" s="226">
        <f>('1.FinancialPosition'!G10+'1.FinancialPosition'!H10)/2/K6*360</f>
        <v>99.00902566407855</v>
      </c>
      <c r="M15" s="83"/>
      <c r="N15" s="83"/>
      <c r="O15" s="83"/>
      <c r="P15" s="83"/>
      <c r="Q15" s="83"/>
      <c r="R15" s="83"/>
      <c r="S15" s="83"/>
      <c r="X15" s="151"/>
      <c r="Y15" s="151"/>
      <c r="Z15" s="151"/>
    </row>
    <row r="16" spans="1:26" x14ac:dyDescent="0.35">
      <c r="A16" s="1" t="s">
        <v>87</v>
      </c>
      <c r="B16" s="1" t="s">
        <v>101</v>
      </c>
      <c r="C16" s="221" t="s">
        <v>118</v>
      </c>
      <c r="D16" s="221" t="s">
        <v>134</v>
      </c>
      <c r="E16" s="39">
        <f>(28922894.79+'1.FinancialPosition'!B28)/2/E6*360</f>
        <v>52.276404142947719</v>
      </c>
      <c r="F16" s="39">
        <f>('1.FinancialPosition'!B28+'1.FinancialPosition'!C28)/2/F6*360</f>
        <v>47.62705632581023</v>
      </c>
      <c r="G16" s="38">
        <f>('1.FinancialPosition'!C28+'1.FinancialPosition'!D28)/2/G6*360</f>
        <v>46.695633022135894</v>
      </c>
      <c r="H16" s="38">
        <f>('1.FinancialPosition'!D28+'1.FinancialPosition'!E28)/2/H6*360</f>
        <v>48.996371504875739</v>
      </c>
      <c r="I16" s="38">
        <f>('1.FinancialPosition'!E28+'1.FinancialPosition'!F28)/2/I6*360</f>
        <v>42.67836181430895</v>
      </c>
      <c r="J16" s="38">
        <f>('1.FinancialPosition'!F28+'1.FinancialPosition'!G28)/2/J6*360</f>
        <v>57.876568836107097</v>
      </c>
      <c r="K16" s="226">
        <f>('1.FinancialPosition'!G28+'1.FinancialPosition'!H28)/2/K6*360</f>
        <v>60.576656976812153</v>
      </c>
      <c r="M16" s="83"/>
      <c r="N16" s="83"/>
      <c r="O16" s="83"/>
      <c r="P16" s="83"/>
      <c r="Q16" s="83"/>
      <c r="R16" s="83"/>
      <c r="S16" s="83"/>
      <c r="X16" s="151"/>
      <c r="Y16" s="151"/>
      <c r="Z16" s="151"/>
    </row>
    <row r="17" spans="1:26" x14ac:dyDescent="0.35">
      <c r="A17" s="1" t="s">
        <v>88</v>
      </c>
      <c r="B17" s="1" t="s">
        <v>102</v>
      </c>
      <c r="C17" s="221" t="s">
        <v>119</v>
      </c>
      <c r="D17" s="221" t="s">
        <v>135</v>
      </c>
      <c r="E17" s="35">
        <f>'2.Comprehensive income'!C18/'1.FinancialPosition'!B17</f>
        <v>1.7790902471257249E-2</v>
      </c>
      <c r="F17" s="35">
        <f>'2.Comprehensive income'!D18/'1.FinancialPosition'!C17</f>
        <v>1.8948208866597697E-2</v>
      </c>
      <c r="G17" s="35">
        <f>'2.Comprehensive income'!E18/'1.FinancialPosition'!D17</f>
        <v>1.5032722172766025E-3</v>
      </c>
      <c r="H17" s="35">
        <f>'2.Comprehensive income'!F18/'1.FinancialPosition'!E17</f>
        <v>3.7566014000971256E-3</v>
      </c>
      <c r="I17" s="35">
        <f>'2.Comprehensive income'!G18/'1.FinancialPosition'!F17</f>
        <v>-5.9316489474941425E-3</v>
      </c>
      <c r="J17" s="35">
        <f>'2.Comprehensive income'!H18/'1.FinancialPosition'!G17</f>
        <v>0.18378321388239174</v>
      </c>
      <c r="K17" s="223">
        <f>'2.Comprehensive income'!I18/'1.FinancialPosition'!H17</f>
        <v>1.3742589278678712E-2</v>
      </c>
      <c r="M17" s="83"/>
      <c r="N17" s="83"/>
      <c r="O17" s="83"/>
      <c r="P17" s="83"/>
      <c r="Q17" s="83"/>
      <c r="R17" s="83"/>
      <c r="S17" s="83"/>
      <c r="X17" s="151"/>
      <c r="Y17" s="151"/>
      <c r="Z17" s="151"/>
    </row>
    <row r="18" spans="1:26" x14ac:dyDescent="0.35">
      <c r="A18" s="1" t="s">
        <v>89</v>
      </c>
      <c r="B18" s="1" t="s">
        <v>103</v>
      </c>
      <c r="C18" s="221" t="s">
        <v>120</v>
      </c>
      <c r="D18" s="221" t="s">
        <v>136</v>
      </c>
      <c r="E18" s="35">
        <f>'2.Comprehensive income'!C18/'1.FinancialPosition'!B22</f>
        <v>3.6042723137318058E-2</v>
      </c>
      <c r="F18" s="35">
        <f>'2.Comprehensive income'!D18/'1.FinancialPosition'!C22</f>
        <v>3.4990479307575893E-2</v>
      </c>
      <c r="G18" s="35">
        <f>'2.Comprehensive income'!E18/'1.FinancialPosition'!D22</f>
        <v>2.7003756187006654E-3</v>
      </c>
      <c r="H18" s="35">
        <f>'2.Comprehensive income'!F18/'1.FinancialPosition'!E22</f>
        <v>6.2881806955753577E-3</v>
      </c>
      <c r="I18" s="35">
        <f>'2.Comprehensive income'!G18/'1.FinancialPosition'!F22</f>
        <v>-1.0790258929075348E-2</v>
      </c>
      <c r="J18" s="35">
        <f>'2.Comprehensive income'!H18/'1.FinancialPosition'!G22</f>
        <v>0.32125040608256905</v>
      </c>
      <c r="K18" s="223">
        <f>'2.Comprehensive income'!I18/'1.FinancialPosition'!H22</f>
        <v>2.1972508751748866E-2</v>
      </c>
      <c r="M18" s="83"/>
      <c r="N18" s="83"/>
      <c r="O18" s="83"/>
      <c r="P18" s="83"/>
      <c r="Q18" s="83"/>
      <c r="R18" s="83"/>
      <c r="S18" s="83"/>
      <c r="X18" s="151"/>
      <c r="Y18" s="151"/>
      <c r="Z18" s="151"/>
    </row>
    <row r="19" spans="1:26" x14ac:dyDescent="0.35">
      <c r="A19" s="1" t="s">
        <v>90</v>
      </c>
      <c r="B19" s="1" t="s">
        <v>104</v>
      </c>
      <c r="C19" s="221" t="s">
        <v>121</v>
      </c>
      <c r="D19" s="221" t="s">
        <v>137</v>
      </c>
      <c r="E19" s="35">
        <f>'2.Comprehensive income'!C18/E6</f>
        <v>2.4236745966819365E-2</v>
      </c>
      <c r="F19" s="35">
        <f>'2.Comprehensive income'!D18/F6</f>
        <v>2.3916102794607527E-2</v>
      </c>
      <c r="G19" s="35">
        <f>'2.Comprehensive income'!E18/G6</f>
        <v>1.9927491350612853E-3</v>
      </c>
      <c r="H19" s="35">
        <f>'2.Comprehensive income'!F18/H6</f>
        <v>4.753064660478824E-3</v>
      </c>
      <c r="I19" s="35">
        <f>'2.Comprehensive income'!G18/I6</f>
        <v>-5.4224582417579372E-3</v>
      </c>
      <c r="J19" s="35">
        <f>'2.Comprehensive income'!H18/J6</f>
        <v>0.19419714884859304</v>
      </c>
      <c r="K19" s="223">
        <f>'2.Comprehensive income'!I18/K6</f>
        <v>1.531187413900976E-2</v>
      </c>
      <c r="M19" s="83"/>
      <c r="N19" s="83"/>
      <c r="O19" s="83"/>
      <c r="P19" s="83"/>
      <c r="Q19" s="83"/>
      <c r="R19" s="83"/>
      <c r="S19" s="83"/>
      <c r="X19" s="151"/>
      <c r="Y19" s="151"/>
      <c r="Z19" s="151"/>
    </row>
    <row r="20" spans="1:26" x14ac:dyDescent="0.35">
      <c r="X20" s="151"/>
      <c r="Y20" s="151"/>
      <c r="Z20" s="151"/>
    </row>
    <row r="21" spans="1:26" x14ac:dyDescent="0.35">
      <c r="A21" s="24" t="s">
        <v>69</v>
      </c>
      <c r="C21" s="24" t="s">
        <v>69</v>
      </c>
      <c r="M21" s="73"/>
      <c r="N21" s="73"/>
      <c r="O21" s="73"/>
      <c r="P21" s="73"/>
      <c r="Q21" s="73"/>
      <c r="R21" s="73"/>
      <c r="S21" s="73"/>
      <c r="X21" s="151"/>
      <c r="Y21" s="151"/>
      <c r="Z21" s="151"/>
    </row>
    <row r="22" spans="1:26" x14ac:dyDescent="0.35">
      <c r="M22" s="73"/>
      <c r="N22" s="73"/>
      <c r="O22" s="73"/>
      <c r="P22" s="73"/>
      <c r="Q22" s="73"/>
      <c r="R22" s="73"/>
      <c r="S22" s="73"/>
      <c r="X22" s="151"/>
      <c r="Y22" s="151"/>
      <c r="Z22" s="151"/>
    </row>
    <row r="23" spans="1:26" x14ac:dyDescent="0.35">
      <c r="M23" s="73"/>
      <c r="N23" s="73"/>
      <c r="O23" s="73"/>
      <c r="P23" s="73"/>
      <c r="Q23" s="73"/>
      <c r="R23" s="73"/>
      <c r="S23" s="73"/>
      <c r="T23" s="73"/>
    </row>
    <row r="24" spans="1:26" x14ac:dyDescent="0.35">
      <c r="M24" s="73"/>
      <c r="N24" s="73"/>
      <c r="O24" s="73"/>
      <c r="P24" s="73"/>
      <c r="Q24" s="73"/>
      <c r="R24" s="73"/>
      <c r="S24" s="73"/>
      <c r="T24" s="73"/>
    </row>
    <row r="25" spans="1:26" x14ac:dyDescent="0.35">
      <c r="M25" s="170"/>
      <c r="N25" s="170"/>
      <c r="O25" s="170"/>
    </row>
    <row r="26" spans="1:26" x14ac:dyDescent="0.35">
      <c r="M26" s="170"/>
      <c r="N26" s="170"/>
      <c r="O26" s="170"/>
    </row>
    <row r="27" spans="1:26" x14ac:dyDescent="0.35">
      <c r="M27" s="170"/>
      <c r="N27" s="170"/>
      <c r="O27" s="170"/>
    </row>
    <row r="28" spans="1:26" x14ac:dyDescent="0.35">
      <c r="M28" s="170"/>
      <c r="N28" s="170"/>
      <c r="O28" s="170"/>
    </row>
    <row r="29" spans="1:26" x14ac:dyDescent="0.35">
      <c r="M29" s="170"/>
      <c r="N29" s="170"/>
      <c r="O29" s="170"/>
    </row>
    <row r="30" spans="1:26" x14ac:dyDescent="0.35">
      <c r="M30" s="170"/>
      <c r="N30" s="170"/>
      <c r="O30" s="170"/>
    </row>
    <row r="31" spans="1:26" x14ac:dyDescent="0.35">
      <c r="M31" s="170"/>
      <c r="N31" s="170"/>
      <c r="O31" s="170"/>
    </row>
    <row r="32" spans="1:26" x14ac:dyDescent="0.35">
      <c r="M32" s="170"/>
      <c r="N32" s="170"/>
      <c r="O32" s="170"/>
    </row>
    <row r="33" spans="13:15" x14ac:dyDescent="0.35">
      <c r="M33" s="170"/>
      <c r="N33" s="170"/>
      <c r="O33" s="170"/>
    </row>
    <row r="34" spans="13:15" x14ac:dyDescent="0.35">
      <c r="M34" s="170"/>
      <c r="N34" s="170"/>
      <c r="O34" s="170"/>
    </row>
    <row r="35" spans="13:15" x14ac:dyDescent="0.35">
      <c r="M35" s="170"/>
      <c r="N35" s="170"/>
      <c r="O35" s="170"/>
    </row>
    <row r="36" spans="13:15" x14ac:dyDescent="0.35">
      <c r="M36" s="170"/>
      <c r="N36" s="170"/>
      <c r="O36" s="170"/>
    </row>
    <row r="37" spans="13:15" x14ac:dyDescent="0.35">
      <c r="M37" s="170"/>
      <c r="N37" s="170"/>
      <c r="O37" s="170"/>
    </row>
    <row r="38" spans="13:15" x14ac:dyDescent="0.35">
      <c r="M38" s="170"/>
      <c r="N38" s="170"/>
      <c r="O38" s="170"/>
    </row>
    <row r="39" spans="13:15" x14ac:dyDescent="0.35">
      <c r="M39" s="170"/>
      <c r="N39" s="170"/>
      <c r="O39" s="17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I90"/>
  <sheetViews>
    <sheetView showGridLines="0" topLeftCell="A61" workbookViewId="0">
      <selection activeCell="B67" sqref="B67"/>
    </sheetView>
  </sheetViews>
  <sheetFormatPr defaultColWidth="9.08984375" defaultRowHeight="14.5" x14ac:dyDescent="0.35"/>
  <cols>
    <col min="1" max="1" width="22.6328125" style="42" customWidth="1"/>
    <col min="2" max="2" width="16.6328125" style="42" customWidth="1"/>
    <col min="3" max="3" width="17.54296875" style="42" customWidth="1"/>
    <col min="4" max="4" width="17.6328125" style="42" customWidth="1"/>
    <col min="5" max="5" width="14.08984375" style="42" bestFit="1" customWidth="1"/>
    <col min="6" max="6" width="14.54296875" style="42" bestFit="1" customWidth="1"/>
    <col min="7" max="7" width="13.453125" style="42" bestFit="1" customWidth="1"/>
    <col min="8" max="8" width="12.90625" style="42" bestFit="1" customWidth="1"/>
    <col min="9" max="9" width="15" style="42" bestFit="1" customWidth="1"/>
    <col min="10" max="10" width="6.36328125" style="42" customWidth="1"/>
    <col min="11" max="11" width="4.36328125" style="42" customWidth="1"/>
    <col min="12" max="12" width="24.6328125" style="52" bestFit="1" customWidth="1"/>
    <col min="13" max="13" width="3" style="42" customWidth="1"/>
    <col min="14" max="14" width="9.08984375" style="52"/>
    <col min="15" max="15" width="2.90625" style="42" customWidth="1"/>
    <col min="16" max="16" width="9.36328125" style="42" bestFit="1" customWidth="1"/>
    <col min="17" max="17" width="16.08984375" style="42" bestFit="1" customWidth="1"/>
    <col min="18" max="18" width="24.6328125" style="42" bestFit="1" customWidth="1"/>
    <col min="19" max="19" width="3.36328125" style="42" customWidth="1"/>
    <col min="20" max="20" width="9.36328125" style="42" bestFit="1" customWidth="1"/>
    <col min="21" max="23" width="9.08984375" style="42"/>
    <col min="24" max="24" width="9.08984375" style="52"/>
    <col min="25" max="25" width="9.08984375" style="42"/>
    <col min="26" max="26" width="3.54296875" style="42" customWidth="1"/>
    <col min="27" max="27" width="9.08984375" style="42"/>
    <col min="28" max="28" width="20" style="42" bestFit="1" customWidth="1"/>
    <col min="29" max="29" width="33.453125" style="42" customWidth="1"/>
    <col min="30" max="31" width="9.08984375" style="42"/>
    <col min="32" max="32" width="32.90625" style="42" customWidth="1"/>
    <col min="33" max="33" width="14.54296875" style="42" bestFit="1" customWidth="1"/>
    <col min="34" max="34" width="15.6328125" style="42" bestFit="1" customWidth="1"/>
    <col min="35" max="16384" width="9.08984375" style="42"/>
  </cols>
  <sheetData>
    <row r="1" spans="1:35" x14ac:dyDescent="0.35">
      <c r="A1" s="44" t="str">
        <f>A4&amp;" vs. "&amp;A5</f>
        <v>Total non-current assets vs. Total current assets</v>
      </c>
      <c r="B1" s="44"/>
    </row>
    <row r="2" spans="1:35" x14ac:dyDescent="0.35">
      <c r="L2" s="52" t="s">
        <v>167</v>
      </c>
      <c r="N2" s="52" t="s">
        <v>168</v>
      </c>
      <c r="X2" s="52" t="s">
        <v>171</v>
      </c>
    </row>
    <row r="3" spans="1:35" x14ac:dyDescent="0.35">
      <c r="B3" s="46">
        <v>2017</v>
      </c>
      <c r="C3" s="46">
        <f>B3+1</f>
        <v>2018</v>
      </c>
      <c r="D3" s="46">
        <f t="shared" ref="D3:H3" si="0">C3+1</f>
        <v>2019</v>
      </c>
      <c r="E3" s="46">
        <f t="shared" si="0"/>
        <v>2020</v>
      </c>
      <c r="F3" s="46">
        <f t="shared" si="0"/>
        <v>2021</v>
      </c>
      <c r="G3" s="46">
        <f t="shared" si="0"/>
        <v>2022</v>
      </c>
      <c r="H3" s="46">
        <f t="shared" si="0"/>
        <v>2023</v>
      </c>
      <c r="L3" s="52" t="s">
        <v>3</v>
      </c>
      <c r="N3" s="52" t="s">
        <v>165</v>
      </c>
      <c r="P3" s="42">
        <v>1</v>
      </c>
      <c r="Q3" s="42" t="s">
        <v>166</v>
      </c>
      <c r="R3" s="42" t="s">
        <v>3</v>
      </c>
      <c r="S3" s="42">
        <f>IF(Q3=$A$8,P3,"")</f>
        <v>1</v>
      </c>
      <c r="T3" s="42">
        <f>SMALL($S$3:$S$10,ROWS(S3:$S$3))</f>
        <v>1</v>
      </c>
      <c r="U3" s="42" t="str">
        <f>VLOOKUP(T3,$P$3:$R$10,3,0)</f>
        <v>Total non-current assets</v>
      </c>
      <c r="X3" s="52" t="s">
        <v>172</v>
      </c>
      <c r="AA3" s="42">
        <v>1</v>
      </c>
      <c r="AB3" s="42" t="s">
        <v>172</v>
      </c>
      <c r="AC3" s="42" t="s">
        <v>1</v>
      </c>
      <c r="AD3" s="42" t="str">
        <f>IF(AB3=Charts!$F$20,hiddenPage!AA3,"")</f>
        <v/>
      </c>
      <c r="AE3" s="42">
        <f>SMALL($AD$3:$AD$35,ROWS($AD3:AD$3))</f>
        <v>5</v>
      </c>
      <c r="AF3" s="42" t="str">
        <f>IF(ISERROR(VLOOKUP(AE3,$AA$3:$AC$40,3,0)),"",VLOOKUP(AE3,$AA$3:$AC$40,3,0))</f>
        <v>Current inventories</v>
      </c>
      <c r="AG3" s="47">
        <f>SUMIF('1.FinancialPosition'!A:A,hiddenPage!AF3,'1.FinancialPosition'!B:B)+SUMIF('1.FinancialPosition'!A:A,hiddenPage!AF3,'1.FinancialPosition'!C:C)+SUMIF('1.FinancialPosition'!A:A,hiddenPage!AF3,'1.FinancialPosition'!D:D)+SUMIF('1.FinancialPosition'!A:A,hiddenPage!AF3,'1.FinancialPosition'!E:E)+SUMIF('1.FinancialPosition'!A:A,hiddenPage!AF3,'1.FinancialPosition'!F:F)+SUMIF('1.FinancialPosition'!A:A,hiddenPage!AF3,'1.FinancialPosition'!G:G)+SUMIF('1.FinancialPosition'!A:A,hiddenPage!AF3,'1.FinancialPosition'!H:H)</f>
        <v>180715277.95999998</v>
      </c>
      <c r="AH3" s="64">
        <f>LARGE($AG$3:$AG$13,ROWS(AF3:$AF$3))</f>
        <v>327963446.83999997</v>
      </c>
      <c r="AI3" s="42" t="str">
        <f t="shared" ref="AI3:AI13" si="1">INDEX(AF:AF,MATCH(AH3,AG:AG,0))</f>
        <v>Trade and other current receivables</v>
      </c>
    </row>
    <row r="4" spans="1:35" x14ac:dyDescent="0.35">
      <c r="A4" s="45" t="str">
        <f>Charts!F2</f>
        <v>Total non-current assets</v>
      </c>
      <c r="B4" s="47">
        <f>SUMIF('1.FinancialPosition'!$A:$A,$A4,'1.FinancialPosition'!B:B)</f>
        <v>210024646.26000002</v>
      </c>
      <c r="C4" s="47">
        <f>SUMIF('1.FinancialPosition'!$A:$A,$A4,'1.FinancialPosition'!C:C)</f>
        <v>170408687.35000002</v>
      </c>
      <c r="D4" s="47">
        <f>SUMIF('1.FinancialPosition'!$A:$A,$A4,'1.FinancialPosition'!D:D)</f>
        <v>163480244.93000001</v>
      </c>
      <c r="E4" s="47">
        <f>SUMIF('1.FinancialPosition'!$A:$A,$A4,'1.FinancialPosition'!E:E)</f>
        <v>152917930.06</v>
      </c>
      <c r="F4" s="47">
        <f>SUMIF('1.FinancialPosition'!$A:$A,$A4,'1.FinancialPosition'!F:F)</f>
        <v>138364502</v>
      </c>
      <c r="G4" s="47">
        <f>SUMIF('1.FinancialPosition'!$A:$A,$A4,'1.FinancialPosition'!G:G)</f>
        <v>133313884</v>
      </c>
      <c r="H4" s="47">
        <f>SUMIF('1.FinancialPosition'!$A:$A,$A4,'1.FinancialPosition'!H:H)</f>
        <v>118936705</v>
      </c>
      <c r="L4" s="52" t="s">
        <v>5</v>
      </c>
      <c r="N4" s="52" t="s">
        <v>166</v>
      </c>
      <c r="P4" s="42">
        <v>2</v>
      </c>
      <c r="Q4" s="42" t="s">
        <v>166</v>
      </c>
      <c r="R4" s="42" t="s">
        <v>5</v>
      </c>
      <c r="S4" s="42">
        <f t="shared" ref="S4:S10" si="2">IF(Q4=$A$8,P4,"")</f>
        <v>2</v>
      </c>
      <c r="T4" s="42">
        <f>SMALL($S$3:$S$10,ROWS(S$3:$S4))</f>
        <v>2</v>
      </c>
      <c r="U4" s="42" t="str">
        <f t="shared" ref="U4:U10" si="3">VLOOKUP(T4,$P$3:$R$10,3,0)</f>
        <v>Total current assets</v>
      </c>
      <c r="X4" s="52" t="s">
        <v>151</v>
      </c>
      <c r="AA4" s="42">
        <f>AA3+1</f>
        <v>2</v>
      </c>
      <c r="AB4" s="42" t="s">
        <v>172</v>
      </c>
      <c r="AC4" s="42" t="s">
        <v>2</v>
      </c>
      <c r="AD4" s="42" t="str">
        <f>IF(AB4=Charts!$F$20,hiddenPage!AA4,"")</f>
        <v/>
      </c>
      <c r="AE4" s="42">
        <f>SMALL($AD$3:$AD$35,ROWS($AD$3:AD4))</f>
        <v>6</v>
      </c>
      <c r="AF4" s="42" t="str">
        <f t="shared" ref="AF4:AF13" si="4">IF(ISERROR(VLOOKUP(AE4,$AA$3:$AC$40,3,0)),"",VLOOKUP(AE4,$AA$3:$AC$40,3,0))</f>
        <v>Trade and other current receivables</v>
      </c>
      <c r="AG4" s="47">
        <f>SUMIF('1.FinancialPosition'!A:A,hiddenPage!AF4,'1.FinancialPosition'!B:B)+SUMIF('1.FinancialPosition'!A:A,hiddenPage!AF4,'1.FinancialPosition'!C:C)+SUMIF('1.FinancialPosition'!A:A,hiddenPage!AF4,'1.FinancialPosition'!D:D)+SUMIF('1.FinancialPosition'!A:A,hiddenPage!AF4,'1.FinancialPosition'!E:E)+SUMIF('1.FinancialPosition'!A:A,hiddenPage!AF4,'1.FinancialPosition'!F:F)+SUMIF('1.FinancialPosition'!A:A,hiddenPage!AF4,'1.FinancialPosition'!G:G)+SUMIF('1.FinancialPosition'!A:A,hiddenPage!AF4,'1.FinancialPosition'!H:H)</f>
        <v>327963446.83999997</v>
      </c>
      <c r="AH4" s="64">
        <f>LARGE($AG$3:$AG$13,ROWS(AF$3:$AF4))</f>
        <v>180715277.95999998</v>
      </c>
      <c r="AI4" s="42" t="str">
        <f t="shared" si="1"/>
        <v>Current inventories</v>
      </c>
    </row>
    <row r="5" spans="1:35" x14ac:dyDescent="0.35">
      <c r="A5" s="45" t="str">
        <f>Charts!F3</f>
        <v>Total current assets</v>
      </c>
      <c r="B5" s="47">
        <f>SUMIF('1.FinancialPosition'!$A:$A,$A5,'1.FinancialPosition'!B:B)</f>
        <v>59667442.590000004</v>
      </c>
      <c r="C5" s="47">
        <f>SUMIF('1.FinancialPosition'!$A:$A,$A5,'1.FinancialPosition'!C:C)</f>
        <v>82932100.889999986</v>
      </c>
      <c r="D5" s="47">
        <f>SUMIF('1.FinancialPosition'!$A:$A,$A5,'1.FinancialPosition'!D:D)</f>
        <v>82714659.589999989</v>
      </c>
      <c r="E5" s="47">
        <f>SUMIF('1.FinancialPosition'!$A:$A,$A5,'1.FinancialPosition'!E:E)</f>
        <v>78436250.86999999</v>
      </c>
      <c r="F5" s="47">
        <f>SUMIF('1.FinancialPosition'!$A:$A,$A5,'1.FinancialPosition'!F:F)</f>
        <v>105658368</v>
      </c>
      <c r="G5" s="47">
        <f>SUMIF('1.FinancialPosition'!$A:$A,$A5,'1.FinancialPosition'!G:G)</f>
        <v>146753533</v>
      </c>
      <c r="H5" s="47">
        <f>SUMIF('1.FinancialPosition'!$A:$A,$A5,'1.FinancialPosition'!H:H)</f>
        <v>122197548</v>
      </c>
      <c r="L5" s="52" t="s">
        <v>6</v>
      </c>
      <c r="N5" s="52" t="s">
        <v>169</v>
      </c>
      <c r="P5" s="42">
        <v>3</v>
      </c>
      <c r="Q5" s="42" t="s">
        <v>165</v>
      </c>
      <c r="R5" s="42" t="s">
        <v>14</v>
      </c>
      <c r="S5" s="42" t="str">
        <f t="shared" si="2"/>
        <v/>
      </c>
      <c r="T5" s="42" t="e">
        <f>SMALL($S$3:$S$10,ROWS(S$3:$S5))</f>
        <v>#NUM!</v>
      </c>
      <c r="U5" s="42" t="e">
        <f t="shared" si="3"/>
        <v>#NUM!</v>
      </c>
      <c r="X5" s="52" t="s">
        <v>173</v>
      </c>
      <c r="AA5" s="42">
        <f t="shared" ref="AA5:AA36" si="5">AA4+1</f>
        <v>3</v>
      </c>
      <c r="AB5" s="42" t="s">
        <v>172</v>
      </c>
      <c r="AC5" s="42" t="s">
        <v>216</v>
      </c>
      <c r="AD5" s="42" t="str">
        <f>IF(AB5=Charts!$F$20,hiddenPage!AA5,"")</f>
        <v/>
      </c>
      <c r="AE5" s="42">
        <f>SMALL($AD$3:$AD$35,ROWS($AD$3:AD5))</f>
        <v>7</v>
      </c>
      <c r="AF5" s="42" t="str">
        <f t="shared" si="4"/>
        <v>Current tax assets</v>
      </c>
      <c r="AG5" s="47">
        <f>SUMIF('1.FinancialPosition'!A:A,hiddenPage!AF5,'1.FinancialPosition'!B:B)+SUMIF('1.FinancialPosition'!A:A,hiddenPage!AF5,'1.FinancialPosition'!C:C)+SUMIF('1.FinancialPosition'!A:A,hiddenPage!AF5,'1.FinancialPosition'!D:D)+SUMIF('1.FinancialPosition'!A:A,hiddenPage!AF5,'1.FinancialPosition'!E:E)+SUMIF('1.FinancialPosition'!A:A,hiddenPage!AF5,'1.FinancialPosition'!F:F)+SUMIF('1.FinancialPosition'!A:A,hiddenPage!AF5,'1.FinancialPosition'!G:G)+SUMIF('1.FinancialPosition'!A:A,hiddenPage!AF5,'1.FinancialPosition'!H:H)</f>
        <v>0</v>
      </c>
      <c r="AH5" s="64">
        <f>LARGE($AG$3:$AG$13,ROWS(AF$3:$AF5))</f>
        <v>73951654.219999999</v>
      </c>
      <c r="AI5" s="42" t="str">
        <f t="shared" si="1"/>
        <v>Cash and cash equivalents</v>
      </c>
    </row>
    <row r="6" spans="1:35" x14ac:dyDescent="0.35">
      <c r="L6" s="52" t="s">
        <v>10</v>
      </c>
      <c r="N6" s="52" t="s">
        <v>177</v>
      </c>
      <c r="P6" s="42">
        <v>4</v>
      </c>
      <c r="Q6" s="42" t="s">
        <v>165</v>
      </c>
      <c r="R6" s="42" t="s">
        <v>18</v>
      </c>
      <c r="S6" s="42" t="str">
        <f t="shared" si="2"/>
        <v/>
      </c>
      <c r="T6" s="42" t="e">
        <f>SMALL($S$3:$S$10,ROWS(S$3:$S6))</f>
        <v>#NUM!</v>
      </c>
      <c r="U6" s="42" t="e">
        <f t="shared" si="3"/>
        <v>#NUM!</v>
      </c>
      <c r="X6" s="52" t="s">
        <v>174</v>
      </c>
      <c r="AA6" s="42">
        <f t="shared" si="5"/>
        <v>4</v>
      </c>
      <c r="AB6" s="42" t="s">
        <v>172</v>
      </c>
      <c r="AC6" s="42" t="s">
        <v>217</v>
      </c>
      <c r="AD6" s="42" t="str">
        <f>IF(AB6=Charts!$F$20,hiddenPage!AA6,"")</f>
        <v/>
      </c>
      <c r="AE6" s="42">
        <f>SMALL($AD$3:$AD$35,ROWS($AD$3:AD6))</f>
        <v>8</v>
      </c>
      <c r="AF6" s="42" t="str">
        <f t="shared" si="4"/>
        <v>Other current financial assets</v>
      </c>
      <c r="AG6" s="47">
        <f>SUMIF('1.FinancialPosition'!A:A,hiddenPage!AF6,'1.FinancialPosition'!B:B)+SUMIF('1.FinancialPosition'!A:A,hiddenPage!AF6,'1.FinancialPosition'!C:C)+SUMIF('1.FinancialPosition'!A:A,hiddenPage!AF6,'1.FinancialPosition'!D:D)+SUMIF('1.FinancialPosition'!A:A,hiddenPage!AF6,'1.FinancialPosition'!E:E)+SUMIF('1.FinancialPosition'!A:A,hiddenPage!AF6,'1.FinancialPosition'!F:F)+SUMIF('1.FinancialPosition'!A:A,hiddenPage!AF6,'1.FinancialPosition'!G:G)+SUMIF('1.FinancialPosition'!A:A,hiddenPage!AF6,'1.FinancialPosition'!H:H)</f>
        <v>57014523.399999999</v>
      </c>
      <c r="AH6" s="64">
        <f>LARGE($AG$3:$AG$13,ROWS(AF$3:$AF6))</f>
        <v>57014523.399999999</v>
      </c>
      <c r="AI6" s="42" t="str">
        <f t="shared" si="1"/>
        <v>Other current financial assets</v>
      </c>
    </row>
    <row r="7" spans="1:35" x14ac:dyDescent="0.35">
      <c r="A7" s="44" t="str">
        <f>A10&amp;" vs. "&amp;A11</f>
        <v>Total non-current assets vs. Total current assets</v>
      </c>
      <c r="B7" s="44"/>
      <c r="C7" s="44"/>
      <c r="D7" s="43" t="str">
        <f>I9&amp;" structure of "&amp;A8</f>
        <v>2023 structure of Assets</v>
      </c>
      <c r="E7" s="43"/>
      <c r="L7" s="52" t="s">
        <v>14</v>
      </c>
      <c r="P7" s="42">
        <v>5</v>
      </c>
      <c r="Q7" s="42" t="s">
        <v>169</v>
      </c>
      <c r="R7" s="42" t="s">
        <v>226</v>
      </c>
      <c r="S7" s="42" t="str">
        <f t="shared" si="2"/>
        <v/>
      </c>
      <c r="T7" s="42" t="e">
        <f>SMALL($S$3:$S$10,ROWS(S$3:$S7))</f>
        <v>#NUM!</v>
      </c>
      <c r="U7" s="42" t="e">
        <f t="shared" si="3"/>
        <v>#NUM!</v>
      </c>
      <c r="X7" s="52" t="s">
        <v>175</v>
      </c>
      <c r="AA7" s="42">
        <f t="shared" si="5"/>
        <v>5</v>
      </c>
      <c r="AB7" s="42" t="s">
        <v>151</v>
      </c>
      <c r="AC7" s="42" t="s">
        <v>218</v>
      </c>
      <c r="AD7" s="42">
        <f>IF(AB7=Charts!$F$20,hiddenPage!AA7,"")</f>
        <v>5</v>
      </c>
      <c r="AE7" s="42">
        <f>SMALL($AD$3:$AD$35,ROWS($AD$3:AD7))</f>
        <v>9</v>
      </c>
      <c r="AF7" s="42" t="str">
        <f t="shared" si="4"/>
        <v>Other current non-financial assets</v>
      </c>
      <c r="AG7" s="47">
        <f>SUMIF('1.FinancialPosition'!A:A,hiddenPage!AF7,'1.FinancialPosition'!B:B)+SUMIF('1.FinancialPosition'!A:A,hiddenPage!AF7,'1.FinancialPosition'!C:C)+SUMIF('1.FinancialPosition'!A:A,hiddenPage!AF7,'1.FinancialPosition'!D:D)+SUMIF('1.FinancialPosition'!A:A,hiddenPage!AF7,'1.FinancialPosition'!E:E)+SUMIF('1.FinancialPosition'!A:A,hiddenPage!AF7,'1.FinancialPosition'!F:F)+SUMIF('1.FinancialPosition'!A:A,hiddenPage!AF7,'1.FinancialPosition'!G:G)+SUMIF('1.FinancialPosition'!A:A,hiddenPage!AF7,'1.FinancialPosition'!H:H)</f>
        <v>10756291.300000001</v>
      </c>
      <c r="AH7" s="64">
        <f>LARGE($AG$3:$AG$13,ROWS(AF$3:$AF7))</f>
        <v>27958711.219999999</v>
      </c>
      <c r="AI7" s="42" t="str">
        <f t="shared" si="1"/>
        <v>Non-current assets or disposal groups classified as held for sale or as held for distribution to owners</v>
      </c>
    </row>
    <row r="8" spans="1:35" x14ac:dyDescent="0.35">
      <c r="A8" s="42" t="str">
        <f>Charts!N2</f>
        <v>Assets</v>
      </c>
      <c r="B8" s="42">
        <f>IF(B9=Charts!$T$2,1,0)</f>
        <v>0</v>
      </c>
      <c r="C8" s="42">
        <f>IF(C9=Charts!$T$2,1,0)</f>
        <v>0</v>
      </c>
      <c r="D8" s="42">
        <f>IF(D9=Charts!$T$2,1,0)</f>
        <v>0</v>
      </c>
      <c r="E8" s="42">
        <f>IF(E9=Charts!$T$2,1,0)</f>
        <v>0</v>
      </c>
      <c r="F8" s="42">
        <f>IF(F9=Charts!$T$2,1,0)</f>
        <v>0</v>
      </c>
      <c r="G8" s="42">
        <f>IF(G9=Charts!$T$2,1,0)</f>
        <v>0</v>
      </c>
      <c r="H8" s="42">
        <f>IF(H9=Charts!$T$2,1,0)</f>
        <v>1</v>
      </c>
      <c r="L8" s="52" t="s">
        <v>18</v>
      </c>
      <c r="P8" s="42">
        <v>6</v>
      </c>
      <c r="Q8" s="42" t="s">
        <v>169</v>
      </c>
      <c r="R8" s="42" t="s">
        <v>228</v>
      </c>
      <c r="S8" s="42" t="str">
        <f t="shared" si="2"/>
        <v/>
      </c>
      <c r="T8" s="42" t="e">
        <f>SMALL($S$3:$S$10,ROWS(S$3:$S8))</f>
        <v>#NUM!</v>
      </c>
      <c r="U8" s="42" t="e">
        <f t="shared" si="3"/>
        <v>#NUM!</v>
      </c>
      <c r="AA8" s="42">
        <f t="shared" si="5"/>
        <v>6</v>
      </c>
      <c r="AB8" s="42" t="s">
        <v>151</v>
      </c>
      <c r="AC8" s="42" t="s">
        <v>219</v>
      </c>
      <c r="AD8" s="42">
        <f>IF(AB8=Charts!$F$20,hiddenPage!AA8,"")</f>
        <v>6</v>
      </c>
      <c r="AE8" s="42">
        <f>SMALL($AD$3:$AD$35,ROWS($AD$3:AD8))</f>
        <v>10</v>
      </c>
      <c r="AF8" s="42" t="str">
        <f t="shared" si="4"/>
        <v>Cash and cash equivalents</v>
      </c>
      <c r="AG8" s="47">
        <f>SUMIF('1.FinancialPosition'!A:A,hiddenPage!AF8,'1.FinancialPosition'!B:B)+SUMIF('1.FinancialPosition'!A:A,hiddenPage!AF8,'1.FinancialPosition'!C:C)+SUMIF('1.FinancialPosition'!A:A,hiddenPage!AF8,'1.FinancialPosition'!D:D)+SUMIF('1.FinancialPosition'!A:A,hiddenPage!AF8,'1.FinancialPosition'!E:E)+SUMIF('1.FinancialPosition'!A:A,hiddenPage!AF8,'1.FinancialPosition'!F:F)+SUMIF('1.FinancialPosition'!A:A,hiddenPage!AF8,'1.FinancialPosition'!G:G)+SUMIF('1.FinancialPosition'!A:A,hiddenPage!AF8,'1.FinancialPosition'!H:H)</f>
        <v>73951654.219999999</v>
      </c>
      <c r="AH8" s="64">
        <f>LARGE($AG$3:$AG$13,ROWS(AF$3:$AF8))</f>
        <v>10756291.300000001</v>
      </c>
      <c r="AI8" s="42" t="str">
        <f t="shared" si="1"/>
        <v>Other current non-financial assets</v>
      </c>
    </row>
    <row r="9" spans="1:35" x14ac:dyDescent="0.35">
      <c r="B9" s="46">
        <f>B3</f>
        <v>2017</v>
      </c>
      <c r="C9" s="46">
        <f t="shared" ref="C9:H9" si="6">C3</f>
        <v>2018</v>
      </c>
      <c r="D9" s="46">
        <f t="shared" si="6"/>
        <v>2019</v>
      </c>
      <c r="E9" s="46">
        <f t="shared" si="6"/>
        <v>2020</v>
      </c>
      <c r="F9" s="46">
        <f t="shared" si="6"/>
        <v>2021</v>
      </c>
      <c r="G9" s="46">
        <f t="shared" si="6"/>
        <v>2022</v>
      </c>
      <c r="H9" s="46">
        <f t="shared" si="6"/>
        <v>2023</v>
      </c>
      <c r="I9" s="46">
        <f>Charts!T2</f>
        <v>2023</v>
      </c>
      <c r="L9" s="52" t="s">
        <v>19</v>
      </c>
      <c r="P9" s="42">
        <v>7</v>
      </c>
      <c r="Q9" s="42" t="s">
        <v>177</v>
      </c>
      <c r="R9" s="42" t="s">
        <v>19</v>
      </c>
      <c r="S9" s="42" t="str">
        <f t="shared" si="2"/>
        <v/>
      </c>
      <c r="T9" s="42" t="e">
        <f>SMALL($S$3:$S$10,ROWS(S$3:$S9))</f>
        <v>#NUM!</v>
      </c>
      <c r="U9" s="42" t="e">
        <f t="shared" si="3"/>
        <v>#NUM!</v>
      </c>
      <c r="AA9" s="42">
        <f t="shared" si="5"/>
        <v>7</v>
      </c>
      <c r="AB9" s="42" t="s">
        <v>151</v>
      </c>
      <c r="AC9" s="42" t="s">
        <v>4</v>
      </c>
      <c r="AD9" s="42">
        <f>IF(AB9=Charts!$F$20,hiddenPage!AA9,"")</f>
        <v>7</v>
      </c>
      <c r="AE9" s="42">
        <f>SMALL($AD$3:$AD$35,ROWS($AD$3:AD9))</f>
        <v>11</v>
      </c>
      <c r="AF9" s="42" t="str">
        <f t="shared" si="4"/>
        <v>Non-current assets or disposal groups classified as held for sale or as held for distribution to owners</v>
      </c>
      <c r="AG9" s="47">
        <f>SUMIF('1.FinancialPosition'!A:A,hiddenPage!AF9,'1.FinancialPosition'!B:B)+SUMIF('1.FinancialPosition'!A:A,hiddenPage!AF9,'1.FinancialPosition'!C:C)+SUMIF('1.FinancialPosition'!A:A,hiddenPage!AF9,'1.FinancialPosition'!D:D)+SUMIF('1.FinancialPosition'!A:A,hiddenPage!AF9,'1.FinancialPosition'!E:E)+SUMIF('1.FinancialPosition'!A:A,hiddenPage!AF9,'1.FinancialPosition'!F:F)+SUMIF('1.FinancialPosition'!A:A,hiddenPage!AF9,'1.FinancialPosition'!G:G)+SUMIF('1.FinancialPosition'!A:A,hiddenPage!AF9,'1.FinancialPosition'!H:H)</f>
        <v>27958711.219999999</v>
      </c>
      <c r="AH9" s="64">
        <f>LARGE($AG$3:$AG$13,ROWS(AF$3:$AF9))</f>
        <v>0.14999997615814209</v>
      </c>
      <c r="AI9" s="42" t="str">
        <f t="shared" si="1"/>
        <v/>
      </c>
    </row>
    <row r="10" spans="1:35" x14ac:dyDescent="0.35">
      <c r="A10" s="45" t="str">
        <f>U3</f>
        <v>Total non-current assets</v>
      </c>
      <c r="B10" s="47">
        <f>SUMIF('1.FinancialPosition'!$A:$A,$A10,'1.FinancialPosition'!B:B)</f>
        <v>210024646.26000002</v>
      </c>
      <c r="C10" s="47">
        <f>SUMIF('1.FinancialPosition'!$A:$A,$A10,'1.FinancialPosition'!C:C)</f>
        <v>170408687.35000002</v>
      </c>
      <c r="D10" s="47">
        <f>SUMIF('1.FinancialPosition'!$A:$A,$A10,'1.FinancialPosition'!D:D)</f>
        <v>163480244.93000001</v>
      </c>
      <c r="E10" s="47">
        <f>SUMIF('1.FinancialPosition'!$A:$A,$A10,'1.FinancialPosition'!E:E)</f>
        <v>152917930.06</v>
      </c>
      <c r="F10" s="47">
        <f>SUMIF('1.FinancialPosition'!$A:$A,$A10,'1.FinancialPosition'!F:F)</f>
        <v>138364502</v>
      </c>
      <c r="G10" s="47">
        <f>SUMIF('1.FinancialPosition'!$A:$A,$A10,'1.FinancialPosition'!G:G)</f>
        <v>133313884</v>
      </c>
      <c r="H10" s="47">
        <f>SUMIF('1.FinancialPosition'!$A:$A,$A10,'1.FinancialPosition'!H:H)</f>
        <v>118936705</v>
      </c>
      <c r="I10" s="47">
        <f>SUMPRODUCT(B10:H10,$B$8:$H$8)</f>
        <v>118936705</v>
      </c>
      <c r="L10" s="52" t="s">
        <v>20</v>
      </c>
      <c r="P10" s="42">
        <v>8</v>
      </c>
      <c r="Q10" s="42" t="s">
        <v>177</v>
      </c>
      <c r="R10" s="42" t="s">
        <v>10</v>
      </c>
      <c r="S10" s="42" t="str">
        <f t="shared" si="2"/>
        <v/>
      </c>
      <c r="T10" s="42" t="e">
        <f>SMALL($S$3:$S$10,ROWS(S$3:$S10))</f>
        <v>#NUM!</v>
      </c>
      <c r="U10" s="42" t="e">
        <f t="shared" si="3"/>
        <v>#NUM!</v>
      </c>
      <c r="AA10" s="42">
        <f t="shared" si="5"/>
        <v>8</v>
      </c>
      <c r="AB10" s="42" t="s">
        <v>151</v>
      </c>
      <c r="AC10" s="42" t="s">
        <v>220</v>
      </c>
      <c r="AD10" s="42">
        <f>IF(AB10=Charts!$F$20,hiddenPage!AA10,"")</f>
        <v>8</v>
      </c>
      <c r="AE10" s="42" t="e">
        <f>SMALL($AD$3:$AD$35,ROWS($AD$3:AD10))</f>
        <v>#NUM!</v>
      </c>
      <c r="AF10" s="42" t="str">
        <f t="shared" si="4"/>
        <v/>
      </c>
      <c r="AG10" s="47">
        <f>SUMIF('1.FinancialPosition'!A:A,hiddenPage!AF10,'1.FinancialPosition'!B:B)+SUMIF('1.FinancialPosition'!A:A,hiddenPage!AF10,'1.FinancialPosition'!C:C)+SUMIF('1.FinancialPosition'!A:A,hiddenPage!AF10,'1.FinancialPosition'!D:D)+SUMIF('1.FinancialPosition'!A:A,hiddenPage!AF10,'1.FinancialPosition'!E:E)+SUMIF('1.FinancialPosition'!A:A,hiddenPage!AF10,'1.FinancialPosition'!F:F)+SUMIF('1.FinancialPosition'!A:A,hiddenPage!AF10,'1.FinancialPosition'!G:G)+SUMIF('1.FinancialPosition'!A:A,hiddenPage!AF10,'1.FinancialPosition'!H:H)</f>
        <v>0.14999997615814209</v>
      </c>
      <c r="AH10" s="64">
        <f>LARGE($AG$3:$AG$13,ROWS(AF$3:$AF10))</f>
        <v>0.14999997615814209</v>
      </c>
      <c r="AI10" s="42" t="str">
        <f t="shared" si="1"/>
        <v/>
      </c>
    </row>
    <row r="11" spans="1:35" x14ac:dyDescent="0.35">
      <c r="A11" s="45" t="str">
        <f>U4</f>
        <v>Total current assets</v>
      </c>
      <c r="B11" s="47">
        <f>SUMIF('1.FinancialPosition'!$A:$A,$A11,'1.FinancialPosition'!B:B)</f>
        <v>59667442.590000004</v>
      </c>
      <c r="C11" s="47">
        <f>SUMIF('1.FinancialPosition'!$A:$A,$A11,'1.FinancialPosition'!C:C)</f>
        <v>82932100.889999986</v>
      </c>
      <c r="D11" s="47">
        <f>SUMIF('1.FinancialPosition'!$A:$A,$A11,'1.FinancialPosition'!D:D)</f>
        <v>82714659.589999989</v>
      </c>
      <c r="E11" s="47">
        <f>SUMIF('1.FinancialPosition'!$A:$A,$A11,'1.FinancialPosition'!E:E)</f>
        <v>78436250.86999999</v>
      </c>
      <c r="F11" s="47">
        <f>SUMIF('1.FinancialPosition'!$A:$A,$A11,'1.FinancialPosition'!F:F)</f>
        <v>105658368</v>
      </c>
      <c r="G11" s="47">
        <f>SUMIF('1.FinancialPosition'!$A:$A,$A11,'1.FinancialPosition'!G:G)</f>
        <v>146753533</v>
      </c>
      <c r="H11" s="47">
        <f>SUMIF('1.FinancialPosition'!$A:$A,$A11,'1.FinancialPosition'!H:H)</f>
        <v>122197548</v>
      </c>
      <c r="I11" s="47">
        <f>SUMPRODUCT(B11:H11,$B$8:$H$8)</f>
        <v>122197548</v>
      </c>
      <c r="L11" s="52" t="s">
        <v>3</v>
      </c>
      <c r="AA11" s="42">
        <f t="shared" si="5"/>
        <v>9</v>
      </c>
      <c r="AB11" s="42" t="s">
        <v>151</v>
      </c>
      <c r="AC11" s="42" t="s">
        <v>221</v>
      </c>
      <c r="AD11" s="42">
        <f>IF(AB11=Charts!$F$20,hiddenPage!AA11,"")</f>
        <v>9</v>
      </c>
      <c r="AE11" s="42" t="e">
        <f>SMALL($AD$3:$AD$35,ROWS($AD$3:AD11))</f>
        <v>#NUM!</v>
      </c>
      <c r="AF11" s="42" t="str">
        <f t="shared" si="4"/>
        <v/>
      </c>
      <c r="AG11" s="47">
        <f>SUMIF('1.FinancialPosition'!A:A,hiddenPage!AF11,'1.FinancialPosition'!B:B)+SUMIF('1.FinancialPosition'!A:A,hiddenPage!AF11,'1.FinancialPosition'!C:C)+SUMIF('1.FinancialPosition'!A:A,hiddenPage!AF11,'1.FinancialPosition'!D:D)+SUMIF('1.FinancialPosition'!A:A,hiddenPage!AF11,'1.FinancialPosition'!E:E)+SUMIF('1.FinancialPosition'!A:A,hiddenPage!AF11,'1.FinancialPosition'!F:F)+SUMIF('1.FinancialPosition'!A:A,hiddenPage!AF11,'1.FinancialPosition'!G:G)+SUMIF('1.FinancialPosition'!A:A,hiddenPage!AF11,'1.FinancialPosition'!H:H)</f>
        <v>0.14999997615814209</v>
      </c>
      <c r="AH11" s="64">
        <f>LARGE($AG$3:$AG$13,ROWS(AF$3:$AF11))</f>
        <v>0.14999997615814209</v>
      </c>
      <c r="AI11" s="42" t="str">
        <f t="shared" si="1"/>
        <v/>
      </c>
    </row>
    <row r="12" spans="1:35" x14ac:dyDescent="0.35">
      <c r="L12" s="52" t="s">
        <v>5</v>
      </c>
      <c r="AA12" s="42">
        <f t="shared" si="5"/>
        <v>10</v>
      </c>
      <c r="AB12" s="42" t="s">
        <v>151</v>
      </c>
      <c r="AC12" s="42" t="s">
        <v>222</v>
      </c>
      <c r="AD12" s="42">
        <f>IF(AB12=Charts!$F$20,hiddenPage!AA12,"")</f>
        <v>10</v>
      </c>
      <c r="AE12" s="42" t="e">
        <f>SMALL($AD$3:$AD$35,ROWS($AD$3:AD12))</f>
        <v>#NUM!</v>
      </c>
      <c r="AF12" s="42" t="str">
        <f t="shared" si="4"/>
        <v/>
      </c>
      <c r="AG12" s="47">
        <f>SUMIF('1.FinancialPosition'!A:A,hiddenPage!AF12,'1.FinancialPosition'!B:B)+SUMIF('1.FinancialPosition'!A:A,hiddenPage!AF12,'1.FinancialPosition'!C:C)+SUMIF('1.FinancialPosition'!A:A,hiddenPage!AF12,'1.FinancialPosition'!D:D)+SUMIF('1.FinancialPosition'!A:A,hiddenPage!AF12,'1.FinancialPosition'!E:E)+SUMIF('1.FinancialPosition'!A:A,hiddenPage!AF12,'1.FinancialPosition'!F:F)+SUMIF('1.FinancialPosition'!A:A,hiddenPage!AF12,'1.FinancialPosition'!G:G)+SUMIF('1.FinancialPosition'!A:A,hiddenPage!AF12,'1.FinancialPosition'!H:H)</f>
        <v>0.14999997615814209</v>
      </c>
      <c r="AH12" s="64">
        <f>LARGE($AG$3:$AG$13,ROWS(AF$3:$AF12))</f>
        <v>0.14999997615814209</v>
      </c>
      <c r="AI12" s="42" t="str">
        <f t="shared" si="1"/>
        <v/>
      </c>
    </row>
    <row r="13" spans="1:35" x14ac:dyDescent="0.35">
      <c r="A13" s="42" t="str">
        <f>"Structure of "&amp;Charts!F20&amp;" in "&amp;Charts!F21</f>
        <v>Structure of Current assets in 2023</v>
      </c>
      <c r="L13" s="52" t="s">
        <v>226</v>
      </c>
      <c r="AA13" s="42">
        <f t="shared" si="5"/>
        <v>11</v>
      </c>
      <c r="AB13" s="42" t="s">
        <v>151</v>
      </c>
      <c r="AC13" s="42" t="s">
        <v>223</v>
      </c>
      <c r="AD13" s="42">
        <f>IF(AB13=Charts!$F$20,hiddenPage!AA13,"")</f>
        <v>11</v>
      </c>
      <c r="AE13" s="42" t="e">
        <f>SMALL($AD$3:$AD$35,ROWS($AD$3:AD13))</f>
        <v>#NUM!</v>
      </c>
      <c r="AF13" s="42" t="str">
        <f t="shared" si="4"/>
        <v/>
      </c>
      <c r="AG13" s="47">
        <f>SUMIF('1.FinancialPosition'!A:A,hiddenPage!AF13,'1.FinancialPosition'!B:B)+SUMIF('1.FinancialPosition'!A:A,hiddenPage!AF13,'1.FinancialPosition'!C:C)+SUMIF('1.FinancialPosition'!A:A,hiddenPage!AF13,'1.FinancialPosition'!D:D)+SUMIF('1.FinancialPosition'!A:A,hiddenPage!AF13,'1.FinancialPosition'!E:E)+SUMIF('1.FinancialPosition'!A:A,hiddenPage!AF13,'1.FinancialPosition'!F:F)+SUMIF('1.FinancialPosition'!A:A,hiddenPage!AF13,'1.FinancialPosition'!G:G)+SUMIF('1.FinancialPosition'!A:A,hiddenPage!AF13,'1.FinancialPosition'!H:H)</f>
        <v>0.14999997615814209</v>
      </c>
      <c r="AH13" s="64">
        <f>LARGE($AG$3:$AG$13,ROWS(AF$3:$AF13))</f>
        <v>0</v>
      </c>
      <c r="AI13" s="42" t="str">
        <f t="shared" si="1"/>
        <v>Current tax assets</v>
      </c>
    </row>
    <row r="14" spans="1:35" x14ac:dyDescent="0.35">
      <c r="B14" s="42">
        <f>IF(Charts!$F$21=B15,1,0)</f>
        <v>0</v>
      </c>
      <c r="C14" s="42">
        <f>IF(Charts!$F$21=C15,1,0)</f>
        <v>0</v>
      </c>
      <c r="D14" s="42">
        <f>IF(Charts!$F$21=D15,1,0)</f>
        <v>0</v>
      </c>
      <c r="E14" s="42">
        <f>IF(Charts!$F$21=E15,1,0)</f>
        <v>0</v>
      </c>
      <c r="F14" s="42">
        <f>IF(Charts!$F$21=F15,1,0)</f>
        <v>0</v>
      </c>
      <c r="G14" s="42">
        <f>IF(Charts!$F$21=G15,1,0)</f>
        <v>0</v>
      </c>
      <c r="H14" s="42">
        <f>IF(Charts!$F$21=H15,1,0)</f>
        <v>1</v>
      </c>
      <c r="L14" s="52" t="s">
        <v>228</v>
      </c>
      <c r="AA14" s="42">
        <f t="shared" si="5"/>
        <v>12</v>
      </c>
      <c r="AB14" s="42" t="s">
        <v>175</v>
      </c>
      <c r="AC14" s="42" t="s">
        <v>7</v>
      </c>
      <c r="AD14" s="42" t="str">
        <f>IF(AB14=Charts!$F$20,hiddenPage!AA14,"")</f>
        <v/>
      </c>
      <c r="AE14" s="42" t="e">
        <f>SMALL($AD$3:$AD$35,ROWS($AD$3:AD14))</f>
        <v>#NUM!</v>
      </c>
      <c r="AG14" s="47"/>
      <c r="AH14" s="64"/>
    </row>
    <row r="15" spans="1:35" x14ac:dyDescent="0.35">
      <c r="A15" s="44"/>
      <c r="B15" s="66">
        <f>B9</f>
        <v>2017</v>
      </c>
      <c r="C15" s="66">
        <f t="shared" ref="C15:H15" si="7">C9</f>
        <v>2018</v>
      </c>
      <c r="D15" s="66">
        <f t="shared" si="7"/>
        <v>2019</v>
      </c>
      <c r="E15" s="66">
        <f t="shared" si="7"/>
        <v>2020</v>
      </c>
      <c r="F15" s="66">
        <f t="shared" si="7"/>
        <v>2021</v>
      </c>
      <c r="G15" s="66">
        <f t="shared" si="7"/>
        <v>2022</v>
      </c>
      <c r="H15" s="66">
        <f t="shared" si="7"/>
        <v>2023</v>
      </c>
      <c r="I15" s="53" t="s">
        <v>185</v>
      </c>
      <c r="J15" s="53" t="s">
        <v>186</v>
      </c>
      <c r="K15" s="53"/>
      <c r="L15" s="52" t="s">
        <v>187</v>
      </c>
      <c r="M15" s="53"/>
      <c r="N15" s="21" t="s">
        <v>188</v>
      </c>
      <c r="O15" s="21"/>
      <c r="P15" s="21"/>
      <c r="Q15" s="21" t="s">
        <v>189</v>
      </c>
      <c r="R15" s="21" t="s">
        <v>190</v>
      </c>
      <c r="AA15" s="42">
        <f>AA13+1</f>
        <v>12</v>
      </c>
      <c r="AB15" s="42" t="s">
        <v>175</v>
      </c>
      <c r="AC15" s="42" t="s">
        <v>8</v>
      </c>
      <c r="AD15" s="42" t="str">
        <f>IF(AB15=Charts!$F$20,hiddenPage!AA15,"")</f>
        <v/>
      </c>
      <c r="AE15" s="42" t="e">
        <f>SMALL($AD$3:$AD$35,ROWS($AD$3:AD15))</f>
        <v>#NUM!</v>
      </c>
      <c r="AF15" s="42" t="str">
        <f>IF(ISERROR(VLOOKUP(AE15,$AA$3:$AC$40,3,0)),"",VLOOKUP(AE15,$AA$3:$AC$40,3,0))</f>
        <v/>
      </c>
    </row>
    <row r="16" spans="1:35" x14ac:dyDescent="0.35">
      <c r="A16" s="44" t="str">
        <f>AF3</f>
        <v>Current inventories</v>
      </c>
      <c r="B16" s="67">
        <f>SUMIF('1.FinancialPosition'!$A:$A,$A16,'1.FinancialPosition'!B:B)</f>
        <v>23824914.340000004</v>
      </c>
      <c r="C16" s="67">
        <f>SUMIF('1.FinancialPosition'!$A:$A,$A16,'1.FinancialPosition'!C:C)</f>
        <v>20695919.009999998</v>
      </c>
      <c r="D16" s="67">
        <f>SUMIF('1.FinancialPosition'!$A:$A,$A16,'1.FinancialPosition'!D:D)</f>
        <v>25346354.789999992</v>
      </c>
      <c r="E16" s="67">
        <f>SUMIF('1.FinancialPosition'!$A:$A,$A16,'1.FinancialPosition'!E:E)</f>
        <v>22285772.819999997</v>
      </c>
      <c r="F16" s="67">
        <f>SUMIF('1.FinancialPosition'!$A:$A,$A16,'1.FinancialPosition'!F:F)</f>
        <v>27647514</v>
      </c>
      <c r="G16" s="67">
        <f>SUMIF('1.FinancialPosition'!$A:$A,$A16,'1.FinancialPosition'!G:G)</f>
        <v>29963708</v>
      </c>
      <c r="H16" s="67">
        <f>SUMIF('1.FinancialPosition'!$A:$A,$A16,'1.FinancialPosition'!H:H)</f>
        <v>30951095</v>
      </c>
      <c r="I16" s="69">
        <f>SUMPRODUCT($B$14:$H$14,B16:H16)</f>
        <v>30951095</v>
      </c>
      <c r="J16" s="70">
        <f>RANK(I16,$I$16:$I$22,0)+COUNTIF($I16:I$22,I16)-1</f>
        <v>2</v>
      </c>
      <c r="K16" s="53"/>
      <c r="L16" s="52">
        <v>1</v>
      </c>
      <c r="M16" s="53"/>
      <c r="N16" s="21" t="str">
        <f t="shared" ref="N16:N22" si="8">INDEX($A$16:$A$22,MATCH(L16,$J$16:$J$22,0))</f>
        <v>Trade and other current receivables</v>
      </c>
      <c r="O16" s="21"/>
      <c r="P16" s="21"/>
      <c r="Q16" s="71">
        <f>SUMIF($A$16:$A$22,N16,$I$16:$I$22)</f>
        <v>55388563</v>
      </c>
      <c r="R16" s="72">
        <f>Q16/$Q$23</f>
        <v>0.45327065809863876</v>
      </c>
      <c r="AD16" s="42" t="str">
        <f>IF(AB16=Charts!$F$20,hiddenPage!AA16,"")</f>
        <v/>
      </c>
      <c r="AE16" s="42" t="e">
        <f>SMALL($AD$3:$AD$35,ROWS($AD$3:AD16))</f>
        <v>#NUM!</v>
      </c>
    </row>
    <row r="17" spans="1:32" x14ac:dyDescent="0.35">
      <c r="A17" s="44" t="str">
        <f t="shared" ref="A17:A22" si="9">AF4</f>
        <v>Trade and other current receivables</v>
      </c>
      <c r="B17" s="67">
        <f>SUMIF('1.FinancialPosition'!$A:$A,$A17,'1.FinancialPosition'!B:B)</f>
        <v>32493265.919999998</v>
      </c>
      <c r="C17" s="67">
        <f>SUMIF('1.FinancialPosition'!$A:$A,$A17,'1.FinancialPosition'!C:C)</f>
        <v>35722416.399999999</v>
      </c>
      <c r="D17" s="67">
        <f>SUMIF('1.FinancialPosition'!$A:$A,$A17,'1.FinancialPosition'!D:D)</f>
        <v>45865813.140000001</v>
      </c>
      <c r="E17" s="67">
        <f>SUMIF('1.FinancialPosition'!$A:$A,$A17,'1.FinancialPosition'!E:E)</f>
        <v>36839898.379999995</v>
      </c>
      <c r="F17" s="67">
        <f>SUMIF('1.FinancialPosition'!$A:$A,$A17,'1.FinancialPosition'!F:F)</f>
        <v>57999727</v>
      </c>
      <c r="G17" s="67">
        <f>SUMIF('1.FinancialPosition'!$A:$A,$A17,'1.FinancialPosition'!G:G)</f>
        <v>63653763</v>
      </c>
      <c r="H17" s="67">
        <f>SUMIF('1.FinancialPosition'!$A:$A,$A17,'1.FinancialPosition'!H:H)</f>
        <v>55388563</v>
      </c>
      <c r="I17" s="69">
        <f t="shared" ref="I17:I22" si="10">SUMPRODUCT($B$14:$H$14,B17:H17)</f>
        <v>55388563</v>
      </c>
      <c r="J17" s="70">
        <f>RANK(I17,$I$16:$I$22,0)+COUNTIF($I17:I$22,I17)-1</f>
        <v>1</v>
      </c>
      <c r="K17" s="53"/>
      <c r="L17" s="52">
        <v>2</v>
      </c>
      <c r="M17" s="53"/>
      <c r="N17" s="21" t="str">
        <f t="shared" si="8"/>
        <v>Current inventories</v>
      </c>
      <c r="O17" s="21"/>
      <c r="P17" s="21"/>
      <c r="Q17" s="71">
        <f t="shared" ref="Q17:Q22" si="11">SUMIF($A$16:$A$22,N17,$I$16:$I$22)</f>
        <v>30951095</v>
      </c>
      <c r="R17" s="72">
        <f t="shared" ref="R17:R22" si="12">Q17/$Q$23</f>
        <v>0.2532873654715232</v>
      </c>
      <c r="AD17" s="42" t="str">
        <f>IF(AB17=Charts!$F$20,hiddenPage!AA17,"")</f>
        <v/>
      </c>
      <c r="AE17" s="42" t="e">
        <f>SMALL($AD$3:$AD$35,ROWS($AD$3:AD17))</f>
        <v>#NUM!</v>
      </c>
    </row>
    <row r="18" spans="1:32" x14ac:dyDescent="0.35">
      <c r="A18" s="44" t="str">
        <f t="shared" si="9"/>
        <v>Current tax assets</v>
      </c>
      <c r="B18" s="67">
        <f>SUMIF('1.FinancialPosition'!$A:$A,$A18,'1.FinancialPosition'!B:B)</f>
        <v>0</v>
      </c>
      <c r="C18" s="67">
        <f>SUMIF('1.FinancialPosition'!$A:$A,$A18,'1.FinancialPosition'!C:C)</f>
        <v>0</v>
      </c>
      <c r="D18" s="67">
        <f>SUMIF('1.FinancialPosition'!$A:$A,$A18,'1.FinancialPosition'!D:D)</f>
        <v>0</v>
      </c>
      <c r="E18" s="67">
        <f>SUMIF('1.FinancialPosition'!$A:$A,$A18,'1.FinancialPosition'!E:E)</f>
        <v>0</v>
      </c>
      <c r="F18" s="67">
        <f>SUMIF('1.FinancialPosition'!$A:$A,$A18,'1.FinancialPosition'!F:F)</f>
        <v>0</v>
      </c>
      <c r="G18" s="67">
        <f>SUMIF('1.FinancialPosition'!$A:$A,$A18,'1.FinancialPosition'!G:G)</f>
        <v>0</v>
      </c>
      <c r="H18" s="67">
        <f>SUMIF('1.FinancialPosition'!$A:$A,$A18,'1.FinancialPosition'!H:H)</f>
        <v>0</v>
      </c>
      <c r="I18" s="69">
        <f t="shared" si="10"/>
        <v>0</v>
      </c>
      <c r="J18" s="70">
        <f>RANK(I18,$I$16:$I$22,0)+COUNTIF($I18:I$22,I18)-1</f>
        <v>7</v>
      </c>
      <c r="K18" s="53"/>
      <c r="L18" s="52">
        <v>3</v>
      </c>
      <c r="M18" s="53"/>
      <c r="N18" s="21" t="str">
        <f t="shared" si="8"/>
        <v>Cash and cash equivalents</v>
      </c>
      <c r="O18" s="21"/>
      <c r="P18" s="21"/>
      <c r="Q18" s="71">
        <f t="shared" si="11"/>
        <v>29382497</v>
      </c>
      <c r="R18" s="72">
        <f t="shared" si="12"/>
        <v>0.2404507903873816</v>
      </c>
      <c r="AD18" s="42" t="str">
        <f>IF(AB18=Charts!$F$20,hiddenPage!AA18,"")</f>
        <v/>
      </c>
      <c r="AE18" s="42" t="e">
        <f>SMALL($AD$3:$AD$35,ROWS($AD$3:AD18))</f>
        <v>#NUM!</v>
      </c>
    </row>
    <row r="19" spans="1:32" x14ac:dyDescent="0.35">
      <c r="A19" s="44" t="str">
        <f t="shared" si="9"/>
        <v>Other current financial assets</v>
      </c>
      <c r="B19" s="67">
        <f>SUMIF('1.FinancialPosition'!$A:$A,$A19,'1.FinancialPosition'!B:B)</f>
        <v>0</v>
      </c>
      <c r="C19" s="67">
        <f>SUMIF('1.FinancialPosition'!$A:$A,$A19,'1.FinancialPosition'!C:C)</f>
        <v>6174451.7800000003</v>
      </c>
      <c r="D19" s="67">
        <f>SUMIF('1.FinancialPosition'!$A:$A,$A19,'1.FinancialPosition'!D:D)</f>
        <v>335912.13</v>
      </c>
      <c r="E19" s="67">
        <f>SUMIF('1.FinancialPosition'!$A:$A,$A19,'1.FinancialPosition'!E:E)</f>
        <v>570774.49</v>
      </c>
      <c r="F19" s="67">
        <f>SUMIF('1.FinancialPosition'!$A:$A,$A19,'1.FinancialPosition'!F:F)</f>
        <v>1265317</v>
      </c>
      <c r="G19" s="67">
        <f>SUMIF('1.FinancialPosition'!$A:$A,$A19,'1.FinancialPosition'!G:G)</f>
        <v>42738851</v>
      </c>
      <c r="H19" s="67">
        <f>SUMIF('1.FinancialPosition'!$A:$A,$A19,'1.FinancialPosition'!H:H)</f>
        <v>5929217</v>
      </c>
      <c r="I19" s="69">
        <f t="shared" si="10"/>
        <v>5929217</v>
      </c>
      <c r="J19" s="70">
        <f>RANK(I19,$I$16:$I$22,0)+COUNTIF($I19:I$22,I19)-1</f>
        <v>4</v>
      </c>
      <c r="K19" s="53"/>
      <c r="L19" s="52">
        <v>4</v>
      </c>
      <c r="M19" s="53"/>
      <c r="N19" s="21" t="str">
        <f t="shared" si="8"/>
        <v>Other current financial assets</v>
      </c>
      <c r="O19" s="21"/>
      <c r="P19" s="21"/>
      <c r="Q19" s="71">
        <f t="shared" si="11"/>
        <v>5929217</v>
      </c>
      <c r="R19" s="72">
        <f t="shared" si="12"/>
        <v>4.8521570989296776E-2</v>
      </c>
      <c r="AD19" s="42" t="str">
        <f>IF(AB19=Charts!$F$20,hiddenPage!AA19,"")</f>
        <v/>
      </c>
      <c r="AE19" s="42" t="e">
        <f>SMALL($AD$3:$AD$35,ROWS($AD$3:AD19))</f>
        <v>#NUM!</v>
      </c>
    </row>
    <row r="20" spans="1:32" x14ac:dyDescent="0.35">
      <c r="A20" s="44" t="str">
        <f t="shared" si="9"/>
        <v>Other current non-financial assets</v>
      </c>
      <c r="B20" s="67">
        <f>SUMIF('1.FinancialPosition'!$A:$A,$A20,'1.FinancialPosition'!B:B)</f>
        <v>820244.87</v>
      </c>
      <c r="C20" s="67">
        <f>SUMIF('1.FinancialPosition'!$A:$A,$A20,'1.FinancialPosition'!C:C)</f>
        <v>1007912.76</v>
      </c>
      <c r="D20" s="67">
        <f>SUMIF('1.FinancialPosition'!$A:$A,$A20,'1.FinancialPosition'!D:D)</f>
        <v>1249969.46</v>
      </c>
      <c r="E20" s="67">
        <f>SUMIF('1.FinancialPosition'!$A:$A,$A20,'1.FinancialPosition'!E:E)</f>
        <v>1080363.21</v>
      </c>
      <c r="F20" s="67">
        <f>SUMIF('1.FinancialPosition'!$A:$A,$A20,'1.FinancialPosition'!F:F)</f>
        <v>2187278</v>
      </c>
      <c r="G20" s="67">
        <f>SUMIF('1.FinancialPosition'!$A:$A,$A20,'1.FinancialPosition'!G:G)</f>
        <v>3864347</v>
      </c>
      <c r="H20" s="67">
        <f>SUMIF('1.FinancialPosition'!$A:$A,$A20,'1.FinancialPosition'!H:H)</f>
        <v>546176</v>
      </c>
      <c r="I20" s="69">
        <f t="shared" si="10"/>
        <v>546176</v>
      </c>
      <c r="J20" s="70">
        <f>RANK(I20,$I$16:$I$22,0)+COUNTIF($I20:I$22,I20)-1</f>
        <v>5</v>
      </c>
      <c r="K20" s="53"/>
      <c r="L20" s="52">
        <v>5</v>
      </c>
      <c r="M20" s="53"/>
      <c r="N20" s="21" t="str">
        <f t="shared" si="8"/>
        <v>Other current non-financial assets</v>
      </c>
      <c r="O20" s="21"/>
      <c r="P20" s="21"/>
      <c r="Q20" s="71">
        <f t="shared" si="11"/>
        <v>546176</v>
      </c>
      <c r="R20" s="72">
        <f t="shared" si="12"/>
        <v>4.4696150531596595E-3</v>
      </c>
      <c r="AD20" s="42" t="str">
        <f>IF(AB20=Charts!$F$20,hiddenPage!AA20,"")</f>
        <v/>
      </c>
      <c r="AE20" s="42" t="e">
        <f>SMALL($AD$3:$AD$35,ROWS($AD$3:AD20))</f>
        <v>#NUM!</v>
      </c>
    </row>
    <row r="21" spans="1:32" x14ac:dyDescent="0.35">
      <c r="A21" s="44" t="str">
        <f t="shared" si="9"/>
        <v>Cash and cash equivalents</v>
      </c>
      <c r="B21" s="67">
        <f>SUMIF('1.FinancialPosition'!$A:$A,$A21,'1.FinancialPosition'!B:B)</f>
        <v>2529017.4600000004</v>
      </c>
      <c r="C21" s="67">
        <f>SUMIF('1.FinancialPosition'!$A:$A,$A21,'1.FinancialPosition'!C:C)</f>
        <v>3331010.5100000002</v>
      </c>
      <c r="D21" s="67">
        <f>SUMIF('1.FinancialPosition'!$A:$A,$A21,'1.FinancialPosition'!D:D)</f>
        <v>5549445.1199999992</v>
      </c>
      <c r="E21" s="67">
        <f>SUMIF('1.FinancialPosition'!$A:$A,$A21,'1.FinancialPosition'!E:E)</f>
        <v>17588598.129999999</v>
      </c>
      <c r="F21" s="67">
        <f>SUMIF('1.FinancialPosition'!$A:$A,$A21,'1.FinancialPosition'!F:F)</f>
        <v>12798377</v>
      </c>
      <c r="G21" s="67">
        <f>SUMIF('1.FinancialPosition'!$A:$A,$A21,'1.FinancialPosition'!G:G)</f>
        <v>2772709</v>
      </c>
      <c r="H21" s="67">
        <f>SUMIF('1.FinancialPosition'!$A:$A,$A21,'1.FinancialPosition'!H:H)</f>
        <v>29382497</v>
      </c>
      <c r="I21" s="69">
        <f t="shared" si="10"/>
        <v>29382497</v>
      </c>
      <c r="J21" s="70">
        <f>RANK(I21,$I$16:$I$22,0)+COUNTIF($I21:I$22,I21)-1</f>
        <v>3</v>
      </c>
      <c r="K21" s="53"/>
      <c r="L21" s="52">
        <v>6</v>
      </c>
      <c r="M21" s="53"/>
      <c r="N21" s="21" t="str">
        <f t="shared" si="8"/>
        <v>Non-current assets or disposal groups classified as held for sale or as held for distribution to owners</v>
      </c>
      <c r="O21" s="21"/>
      <c r="P21" s="21"/>
      <c r="Q21" s="71">
        <f t="shared" si="11"/>
        <v>0</v>
      </c>
      <c r="R21" s="72">
        <f t="shared" si="12"/>
        <v>0</v>
      </c>
      <c r="AD21" s="42" t="str">
        <f>IF(AB21=Charts!$F$20,hiddenPage!AA21,"")</f>
        <v/>
      </c>
      <c r="AE21" s="42" t="e">
        <f>SMALL($AD$3:$AD$35,ROWS($AD$3:AD21))</f>
        <v>#NUM!</v>
      </c>
    </row>
    <row r="22" spans="1:32" x14ac:dyDescent="0.35">
      <c r="A22" s="44" t="str">
        <f t="shared" si="9"/>
        <v>Non-current assets or disposal groups classified as held for sale or as held for distribution to owners</v>
      </c>
      <c r="B22" s="67">
        <f>SUMIF('1.FinancialPosition'!$A:$A,$A22,'1.FinancialPosition'!B:B)</f>
        <v>0</v>
      </c>
      <c r="C22" s="67">
        <f>SUMIF('1.FinancialPosition'!$A:$A,$A22,'1.FinancialPosition'!C:C)</f>
        <v>16000390.43</v>
      </c>
      <c r="D22" s="67">
        <f>SUMIF('1.FinancialPosition'!$A:$A,$A22,'1.FinancialPosition'!D:D)</f>
        <v>4367165.95</v>
      </c>
      <c r="E22" s="67">
        <f>SUMIF('1.FinancialPosition'!$A:$A,$A22,'1.FinancialPosition'!E:E)</f>
        <v>70844.84</v>
      </c>
      <c r="F22" s="67">
        <f>SUMIF('1.FinancialPosition'!$A:$A,$A22,'1.FinancialPosition'!F:F)</f>
        <v>3760155</v>
      </c>
      <c r="G22" s="67">
        <f>SUMIF('1.FinancialPosition'!$A:$A,$A22,'1.FinancialPosition'!G:G)</f>
        <v>3760155</v>
      </c>
      <c r="H22" s="67">
        <f>SUMIF('1.FinancialPosition'!$A:$A,$A22,'1.FinancialPosition'!H:H)</f>
        <v>0</v>
      </c>
      <c r="I22" s="69">
        <f t="shared" si="10"/>
        <v>0</v>
      </c>
      <c r="J22" s="70">
        <f>RANK(I22,$I$16:$I$22,0)+COUNTIF($I22:I$22,I22)-1</f>
        <v>6</v>
      </c>
      <c r="K22" s="53"/>
      <c r="L22" s="52">
        <v>7</v>
      </c>
      <c r="M22" s="53"/>
      <c r="N22" s="21" t="str">
        <f t="shared" si="8"/>
        <v>Current tax assets</v>
      </c>
      <c r="O22" s="21"/>
      <c r="P22" s="21"/>
      <c r="Q22" s="71">
        <f t="shared" si="11"/>
        <v>0</v>
      </c>
      <c r="R22" s="72">
        <f t="shared" si="12"/>
        <v>0</v>
      </c>
      <c r="AD22" s="42" t="str">
        <f>IF(AB22=Charts!$F$20,hiddenPage!AA22,"")</f>
        <v/>
      </c>
      <c r="AE22" s="42" t="e">
        <f>SMALL($AD$3:$AD$35,ROWS($AD$3:AD22))</f>
        <v>#NUM!</v>
      </c>
    </row>
    <row r="23" spans="1:32" x14ac:dyDescent="0.35">
      <c r="N23" s="52" t="str">
        <f>"Total  : "&amp;TEXT(Q23,"#,##0;[Red]-#,##0")&amp;" lei"</f>
        <v>Total  : 122,197,548 lei</v>
      </c>
      <c r="Q23" s="55">
        <f>SUM(Q16:Q22)</f>
        <v>122197548</v>
      </c>
      <c r="AD23" s="42" t="str">
        <f>IF(AB23=Charts!$F$20,hiddenPage!AA23,"")</f>
        <v/>
      </c>
      <c r="AE23" s="42" t="e">
        <f>SMALL($AD$3:$AD$35,ROWS($AD$3:AD23))</f>
        <v>#NUM!</v>
      </c>
    </row>
    <row r="24" spans="1:32" x14ac:dyDescent="0.35">
      <c r="B24" s="46">
        <f>B15</f>
        <v>2017</v>
      </c>
      <c r="C24" s="46">
        <f t="shared" ref="C24:H24" si="13">C15</f>
        <v>2018</v>
      </c>
      <c r="D24" s="46">
        <f t="shared" si="13"/>
        <v>2019</v>
      </c>
      <c r="E24" s="46">
        <f t="shared" si="13"/>
        <v>2020</v>
      </c>
      <c r="F24" s="46">
        <f t="shared" si="13"/>
        <v>2021</v>
      </c>
      <c r="G24" s="46">
        <f t="shared" si="13"/>
        <v>2022</v>
      </c>
      <c r="H24" s="46">
        <f t="shared" si="13"/>
        <v>2023</v>
      </c>
      <c r="I24" s="56" t="s">
        <v>57</v>
      </c>
      <c r="J24" s="44"/>
      <c r="AA24" s="42">
        <f>AA15+1</f>
        <v>13</v>
      </c>
      <c r="AB24" s="42" t="s">
        <v>175</v>
      </c>
      <c r="AC24" s="42" t="s">
        <v>224</v>
      </c>
      <c r="AD24" s="42" t="str">
        <f>IF(AB24=Charts!$F$20,hiddenPage!AA24,"")</f>
        <v/>
      </c>
      <c r="AE24" s="42" t="e">
        <f>SMALL($AD$3:$AD$35,ROWS($AD$3:AD24))</f>
        <v>#NUM!</v>
      </c>
      <c r="AF24" s="42" t="str">
        <f t="shared" ref="AF24:AF31" si="14">IF(ISERROR(VLOOKUP(AE24,$AA$3:$AC$40,3,0)),"",VLOOKUP(AE24,$AA$3:$AC$40,3,0))</f>
        <v/>
      </c>
    </row>
    <row r="25" spans="1:32" x14ac:dyDescent="0.35">
      <c r="A25" s="45" t="str">
        <f t="shared" ref="A25:A31" si="15">AI3</f>
        <v>Trade and other current receivables</v>
      </c>
      <c r="B25" s="47">
        <f>SUMIF('1.FinancialPosition'!$A:$A,$A25,'1.FinancialPosition'!B:B)</f>
        <v>32493265.919999998</v>
      </c>
      <c r="C25" s="47">
        <f>SUMIF('1.FinancialPosition'!$A:$A,$A25,'1.FinancialPosition'!C:C)</f>
        <v>35722416.399999999</v>
      </c>
      <c r="D25" s="47">
        <f>SUMIF('1.FinancialPosition'!$A:$A,$A25,'1.FinancialPosition'!D:D)</f>
        <v>45865813.140000001</v>
      </c>
      <c r="E25" s="47">
        <f>SUMIF('1.FinancialPosition'!$A:$A,$A25,'1.FinancialPosition'!E:E)</f>
        <v>36839898.379999995</v>
      </c>
      <c r="F25" s="47">
        <f>SUMIF('1.FinancialPosition'!$A:$A,$A25,'1.FinancialPosition'!F:F)</f>
        <v>57999727</v>
      </c>
      <c r="G25" s="47">
        <f>SUMIF('1.FinancialPosition'!$A:$A,$A25,'1.FinancialPosition'!G:G)</f>
        <v>63653763</v>
      </c>
      <c r="H25" s="47">
        <f>SUMIF('1.FinancialPosition'!$A:$A,$A25,'1.FinancialPosition'!H:H)</f>
        <v>55388563</v>
      </c>
      <c r="I25" s="65">
        <f>SUM(B25:H25)</f>
        <v>327963446.83999997</v>
      </c>
      <c r="J25" s="44">
        <f>IF(I25&gt;1,1,0)</f>
        <v>1</v>
      </c>
      <c r="AA25" s="42">
        <f t="shared" si="5"/>
        <v>14</v>
      </c>
      <c r="AB25" s="42" t="s">
        <v>175</v>
      </c>
      <c r="AC25" s="42" t="s">
        <v>9</v>
      </c>
      <c r="AD25" s="42" t="str">
        <f>IF(AB25=Charts!$F$20,hiddenPage!AA25,"")</f>
        <v/>
      </c>
      <c r="AE25" s="42" t="e">
        <f>SMALL($AD$3:$AD$35,ROWS($AD$3:AD25))</f>
        <v>#NUM!</v>
      </c>
      <c r="AF25" s="42" t="str">
        <f t="shared" si="14"/>
        <v/>
      </c>
    </row>
    <row r="26" spans="1:32" x14ac:dyDescent="0.35">
      <c r="A26" s="45" t="str">
        <f t="shared" si="15"/>
        <v>Current inventories</v>
      </c>
      <c r="B26" s="47">
        <f>SUMIF('1.FinancialPosition'!$A:$A,$A26,'1.FinancialPosition'!B:B)</f>
        <v>23824914.340000004</v>
      </c>
      <c r="C26" s="47">
        <f>SUMIF('1.FinancialPosition'!$A:$A,$A26,'1.FinancialPosition'!C:C)</f>
        <v>20695919.009999998</v>
      </c>
      <c r="D26" s="47">
        <f>SUMIF('1.FinancialPosition'!$A:$A,$A26,'1.FinancialPosition'!D:D)</f>
        <v>25346354.789999992</v>
      </c>
      <c r="E26" s="47">
        <f>SUMIF('1.FinancialPosition'!$A:$A,$A26,'1.FinancialPosition'!E:E)</f>
        <v>22285772.819999997</v>
      </c>
      <c r="F26" s="47">
        <f>SUMIF('1.FinancialPosition'!$A:$A,$A26,'1.FinancialPosition'!F:F)</f>
        <v>27647514</v>
      </c>
      <c r="G26" s="47">
        <f>SUMIF('1.FinancialPosition'!$A:$A,$A26,'1.FinancialPosition'!G:G)</f>
        <v>29963708</v>
      </c>
      <c r="H26" s="47">
        <f>SUMIF('1.FinancialPosition'!$A:$A,$A26,'1.FinancialPosition'!H:H)</f>
        <v>30951095</v>
      </c>
      <c r="I26" s="65">
        <f t="shared" ref="I26:I30" si="16">SUM(B26:H26)</f>
        <v>180715277.95999998</v>
      </c>
      <c r="J26" s="44">
        <f t="shared" ref="J26:J31" si="17">IF(I26&gt;1,1,0)</f>
        <v>1</v>
      </c>
      <c r="AA26" s="42">
        <f t="shared" si="5"/>
        <v>15</v>
      </c>
      <c r="AB26" s="42" t="s">
        <v>173</v>
      </c>
      <c r="AC26" s="42" t="s">
        <v>225</v>
      </c>
      <c r="AD26" s="42" t="str">
        <f>IF(AB26=Charts!$F$20,hiddenPage!AA26,"")</f>
        <v/>
      </c>
      <c r="AE26" s="42" t="e">
        <f>SMALL($AD$3:$AD$35,ROWS($AD$3:AD26))</f>
        <v>#NUM!</v>
      </c>
      <c r="AF26" s="42" t="str">
        <f t="shared" si="14"/>
        <v/>
      </c>
    </row>
    <row r="27" spans="1:32" x14ac:dyDescent="0.35">
      <c r="A27" s="45" t="str">
        <f t="shared" si="15"/>
        <v>Cash and cash equivalents</v>
      </c>
      <c r="B27" s="47">
        <f>SUMIF('1.FinancialPosition'!$A:$A,$A27,'1.FinancialPosition'!B:B)</f>
        <v>2529017.4600000004</v>
      </c>
      <c r="C27" s="47">
        <f>SUMIF('1.FinancialPosition'!$A:$A,$A27,'1.FinancialPosition'!C:C)</f>
        <v>3331010.5100000002</v>
      </c>
      <c r="D27" s="47">
        <f>SUMIF('1.FinancialPosition'!$A:$A,$A27,'1.FinancialPosition'!D:D)</f>
        <v>5549445.1199999992</v>
      </c>
      <c r="E27" s="47">
        <f>SUMIF('1.FinancialPosition'!$A:$A,$A27,'1.FinancialPosition'!E:E)</f>
        <v>17588598.129999999</v>
      </c>
      <c r="F27" s="47">
        <f>SUMIF('1.FinancialPosition'!$A:$A,$A27,'1.FinancialPosition'!F:F)</f>
        <v>12798377</v>
      </c>
      <c r="G27" s="47">
        <f>SUMIF('1.FinancialPosition'!$A:$A,$A27,'1.FinancialPosition'!G:G)</f>
        <v>2772709</v>
      </c>
      <c r="H27" s="47">
        <f>SUMIF('1.FinancialPosition'!$A:$A,$A27,'1.FinancialPosition'!H:H)</f>
        <v>29382497</v>
      </c>
      <c r="I27" s="65">
        <f t="shared" si="16"/>
        <v>73951654.219999999</v>
      </c>
      <c r="J27" s="44">
        <f t="shared" si="17"/>
        <v>1</v>
      </c>
      <c r="AA27" s="42">
        <f t="shared" si="5"/>
        <v>16</v>
      </c>
      <c r="AB27" s="42" t="s">
        <v>173</v>
      </c>
      <c r="AC27" s="42" t="s">
        <v>13</v>
      </c>
      <c r="AD27" s="42" t="str">
        <f>IF(AB27=Charts!$F$20,hiddenPage!AA27,"")</f>
        <v/>
      </c>
      <c r="AE27" s="42" t="e">
        <f>SMALL($AD$3:$AD$35,ROWS($AD$3:AD27))</f>
        <v>#NUM!</v>
      </c>
      <c r="AF27" s="42" t="str">
        <f t="shared" si="14"/>
        <v/>
      </c>
    </row>
    <row r="28" spans="1:32" x14ac:dyDescent="0.35">
      <c r="A28" s="45" t="str">
        <f t="shared" si="15"/>
        <v>Other current financial assets</v>
      </c>
      <c r="B28" s="47">
        <f>SUMIF('1.FinancialPosition'!$A:$A,$A28,'1.FinancialPosition'!B:B)</f>
        <v>0</v>
      </c>
      <c r="C28" s="47">
        <f>SUMIF('1.FinancialPosition'!$A:$A,$A28,'1.FinancialPosition'!C:C)</f>
        <v>6174451.7800000003</v>
      </c>
      <c r="D28" s="47">
        <f>SUMIF('1.FinancialPosition'!$A:$A,$A28,'1.FinancialPosition'!D:D)</f>
        <v>335912.13</v>
      </c>
      <c r="E28" s="47">
        <f>SUMIF('1.FinancialPosition'!$A:$A,$A28,'1.FinancialPosition'!E:E)</f>
        <v>570774.49</v>
      </c>
      <c r="F28" s="47">
        <f>SUMIF('1.FinancialPosition'!$A:$A,$A28,'1.FinancialPosition'!F:F)</f>
        <v>1265317</v>
      </c>
      <c r="G28" s="47">
        <f>SUMIF('1.FinancialPosition'!$A:$A,$A28,'1.FinancialPosition'!G:G)</f>
        <v>42738851</v>
      </c>
      <c r="H28" s="47">
        <f>SUMIF('1.FinancialPosition'!$A:$A,$A28,'1.FinancialPosition'!H:H)</f>
        <v>5929217</v>
      </c>
      <c r="I28" s="65">
        <f t="shared" si="16"/>
        <v>57014523.399999999</v>
      </c>
      <c r="J28" s="44">
        <f t="shared" si="17"/>
        <v>1</v>
      </c>
      <c r="AA28" s="42">
        <f t="shared" si="5"/>
        <v>17</v>
      </c>
      <c r="AB28" s="42" t="s">
        <v>173</v>
      </c>
      <c r="AC28" s="42" t="s">
        <v>226</v>
      </c>
      <c r="AD28" s="42" t="str">
        <f>IF(AB28=Charts!$F$20,hiddenPage!AA28,"")</f>
        <v/>
      </c>
      <c r="AE28" s="42" t="e">
        <f>SMALL($AD$3:$AD$35,ROWS($AD$3:AD28))</f>
        <v>#NUM!</v>
      </c>
      <c r="AF28" s="42" t="str">
        <f t="shared" si="14"/>
        <v/>
      </c>
    </row>
    <row r="29" spans="1:32" x14ac:dyDescent="0.35">
      <c r="A29" s="45" t="str">
        <f t="shared" si="15"/>
        <v>Non-current assets or disposal groups classified as held for sale or as held for distribution to owners</v>
      </c>
      <c r="B29" s="47">
        <f>SUMIF('1.FinancialPosition'!$A:$A,$A29,'1.FinancialPosition'!B:B)</f>
        <v>0</v>
      </c>
      <c r="C29" s="47">
        <f>SUMIF('1.FinancialPosition'!$A:$A,$A29,'1.FinancialPosition'!C:C)</f>
        <v>16000390.43</v>
      </c>
      <c r="D29" s="47">
        <f>SUMIF('1.FinancialPosition'!$A:$A,$A29,'1.FinancialPosition'!D:D)</f>
        <v>4367165.95</v>
      </c>
      <c r="E29" s="47">
        <f>SUMIF('1.FinancialPosition'!$A:$A,$A29,'1.FinancialPosition'!E:E)</f>
        <v>70844.84</v>
      </c>
      <c r="F29" s="47">
        <f>SUMIF('1.FinancialPosition'!$A:$A,$A29,'1.FinancialPosition'!F:F)</f>
        <v>3760155</v>
      </c>
      <c r="G29" s="47">
        <f>SUMIF('1.FinancialPosition'!$A:$A,$A29,'1.FinancialPosition'!G:G)</f>
        <v>3760155</v>
      </c>
      <c r="H29" s="47">
        <f>SUMIF('1.FinancialPosition'!$A:$A,$A29,'1.FinancialPosition'!H:H)</f>
        <v>0</v>
      </c>
      <c r="I29" s="65">
        <f t="shared" si="16"/>
        <v>27958711.219999999</v>
      </c>
      <c r="J29" s="44">
        <f t="shared" si="17"/>
        <v>1</v>
      </c>
      <c r="AA29" s="42">
        <f t="shared" si="5"/>
        <v>18</v>
      </c>
      <c r="AB29" s="42" t="s">
        <v>173</v>
      </c>
      <c r="AC29" s="42" t="s">
        <v>227</v>
      </c>
      <c r="AD29" s="42" t="str">
        <f>IF(AB29=Charts!$F$20,hiddenPage!AA29,"")</f>
        <v/>
      </c>
      <c r="AE29" s="42" t="e">
        <f>SMALL($AD$3:$AD$35,ROWS($AD$3:AD29))</f>
        <v>#NUM!</v>
      </c>
      <c r="AF29" s="42" t="str">
        <f t="shared" si="14"/>
        <v/>
      </c>
    </row>
    <row r="30" spans="1:32" x14ac:dyDescent="0.35">
      <c r="A30" s="45" t="str">
        <f t="shared" si="15"/>
        <v>Other current non-financial assets</v>
      </c>
      <c r="B30" s="47">
        <f>SUMIF('1.FinancialPosition'!$A:$A,$A30,'1.FinancialPosition'!B:B)</f>
        <v>820244.87</v>
      </c>
      <c r="C30" s="47">
        <f>SUMIF('1.FinancialPosition'!$A:$A,$A30,'1.FinancialPosition'!C:C)</f>
        <v>1007912.76</v>
      </c>
      <c r="D30" s="47">
        <f>SUMIF('1.FinancialPosition'!$A:$A,$A30,'1.FinancialPosition'!D:D)</f>
        <v>1249969.46</v>
      </c>
      <c r="E30" s="47">
        <f>SUMIF('1.FinancialPosition'!$A:$A,$A30,'1.FinancialPosition'!E:E)</f>
        <v>1080363.21</v>
      </c>
      <c r="F30" s="47">
        <f>SUMIF('1.FinancialPosition'!$A:$A,$A30,'1.FinancialPosition'!F:F)</f>
        <v>2187278</v>
      </c>
      <c r="G30" s="47">
        <f>SUMIF('1.FinancialPosition'!$A:$A,$A30,'1.FinancialPosition'!G:G)</f>
        <v>3864347</v>
      </c>
      <c r="H30" s="47">
        <f>SUMIF('1.FinancialPosition'!$A:$A,$A30,'1.FinancialPosition'!H:H)</f>
        <v>546176</v>
      </c>
      <c r="I30" s="65">
        <f t="shared" si="16"/>
        <v>10756291.300000001</v>
      </c>
      <c r="J30" s="44">
        <f t="shared" si="17"/>
        <v>1</v>
      </c>
      <c r="AA30" s="42">
        <f t="shared" si="5"/>
        <v>19</v>
      </c>
      <c r="AD30" s="42" t="str">
        <f>IF(AB30=Charts!$F$20,hiddenPage!AA30,"")</f>
        <v/>
      </c>
      <c r="AE30" s="42" t="e">
        <f>SMALL($AD$3:$AD$35,ROWS($AD$3:AD30))</f>
        <v>#NUM!</v>
      </c>
      <c r="AF30" s="42" t="str">
        <f t="shared" si="14"/>
        <v/>
      </c>
    </row>
    <row r="31" spans="1:32" x14ac:dyDescent="0.35">
      <c r="A31" s="45" t="str">
        <f t="shared" si="15"/>
        <v/>
      </c>
      <c r="B31" s="47">
        <f>SUMIF('1.FinancialPosition'!$A:$A,$A31,'1.FinancialPosition'!B:B)</f>
        <v>0.13999998569488525</v>
      </c>
      <c r="C31" s="47">
        <f>SUMIF('1.FinancialPosition'!$A:$A,$A31,'1.FinancialPosition'!C:C)</f>
        <v>0</v>
      </c>
      <c r="D31" s="47">
        <f>SUMIF('1.FinancialPosition'!$A:$A,$A31,'1.FinancialPosition'!D:D)</f>
        <v>0</v>
      </c>
      <c r="E31" s="47">
        <f>SUMIF('1.FinancialPosition'!$A:$A,$A31,'1.FinancialPosition'!E:E)</f>
        <v>-9.9999904632568359E-3</v>
      </c>
      <c r="F31" s="47">
        <f>SUMIF('1.FinancialPosition'!$A:$A,$A31,'1.FinancialPosition'!F:F)</f>
        <v>0</v>
      </c>
      <c r="G31" s="47">
        <f>SUMIF('1.FinancialPosition'!$A:$A,$A31,'1.FinancialPosition'!G:G)</f>
        <v>1.9999980926513672E-2</v>
      </c>
      <c r="H31" s="47">
        <f>SUMIF('1.FinancialPosition'!$A:$A,$A31,'1.FinancialPosition'!H:H)</f>
        <v>0</v>
      </c>
      <c r="I31" s="65">
        <f>SUM(B31:H31)</f>
        <v>0.14999997615814209</v>
      </c>
      <c r="J31" s="44">
        <f t="shared" si="17"/>
        <v>0</v>
      </c>
      <c r="AA31" s="42">
        <f t="shared" si="5"/>
        <v>20</v>
      </c>
      <c r="AB31" s="42" t="s">
        <v>174</v>
      </c>
      <c r="AC31" s="42" t="s">
        <v>15</v>
      </c>
      <c r="AD31" s="42" t="str">
        <f>IF(AB31=Charts!$F$20,hiddenPage!AA31,"")</f>
        <v/>
      </c>
      <c r="AE31" s="42" t="e">
        <f>SMALL($AD$3:$AD$35,ROWS($AD$3:AD31))</f>
        <v>#NUM!</v>
      </c>
      <c r="AF31" s="42" t="str">
        <f t="shared" si="14"/>
        <v/>
      </c>
    </row>
    <row r="32" spans="1:32" x14ac:dyDescent="0.35">
      <c r="A32" s="42" t="str">
        <f>Charts!S20</f>
        <v>Total current assets</v>
      </c>
      <c r="D32" s="42" t="str">
        <f>"Evolution of "&amp;A32&amp;" in the period 2017-2023"</f>
        <v>Evolution of Total current assets in the period 2017-2023</v>
      </c>
      <c r="AA32" s="42">
        <f t="shared" si="5"/>
        <v>21</v>
      </c>
      <c r="AB32" s="42" t="s">
        <v>174</v>
      </c>
      <c r="AC32" s="42" t="s">
        <v>228</v>
      </c>
      <c r="AD32" s="42" t="str">
        <f>IF(AB32=Charts!$F$20,hiddenPage!AA32,"")</f>
        <v/>
      </c>
      <c r="AE32" s="42" t="e">
        <f>SMALL($AD$3:$AD$35,ROWS($AD$3:AD32))</f>
        <v>#NUM!</v>
      </c>
    </row>
    <row r="33" spans="1:31" x14ac:dyDescent="0.35">
      <c r="A33" s="42">
        <v>2017</v>
      </c>
      <c r="B33" s="47">
        <f>SUMIF('1.FinancialPosition'!$A:$A,hiddenPage!$A$32,'1.FinancialPosition'!B:B)</f>
        <v>59667442.590000004</v>
      </c>
      <c r="C33" s="46"/>
      <c r="D33" s="48"/>
      <c r="E33" s="46"/>
      <c r="F33" s="46"/>
      <c r="G33" s="46"/>
      <c r="AA33" s="42">
        <f t="shared" si="5"/>
        <v>22</v>
      </c>
      <c r="AB33" s="42" t="s">
        <v>174</v>
      </c>
      <c r="AC33" s="42" t="s">
        <v>229</v>
      </c>
      <c r="AD33" s="42" t="str">
        <f>IF(AB33=Charts!$F$20,hiddenPage!AA33,"")</f>
        <v/>
      </c>
      <c r="AE33" s="42" t="e">
        <f>SMALL($AD$3:$AD$35,ROWS($AD$3:AD33))</f>
        <v>#NUM!</v>
      </c>
    </row>
    <row r="34" spans="1:31" x14ac:dyDescent="0.35">
      <c r="A34" s="42">
        <f>A33+1</f>
        <v>2018</v>
      </c>
      <c r="B34" s="47">
        <f>SUMIF('1.FinancialPosition'!$A:$A,hiddenPage!$A$32,'1.FinancialPosition'!C:C)</f>
        <v>82932100.889999986</v>
      </c>
      <c r="C34" s="47"/>
      <c r="D34" s="48"/>
      <c r="E34" s="47"/>
      <c r="F34" s="47"/>
      <c r="G34" s="47"/>
      <c r="AA34" s="42">
        <f t="shared" si="5"/>
        <v>23</v>
      </c>
      <c r="AD34" s="42" t="str">
        <f>IF(AB34=Charts!$F$20,hiddenPage!AA34,"")</f>
        <v/>
      </c>
      <c r="AE34" s="42" t="e">
        <f>SMALL($AD$3:$AD$35,ROWS($AD$3:AD34))</f>
        <v>#NUM!</v>
      </c>
    </row>
    <row r="35" spans="1:31" x14ac:dyDescent="0.35">
      <c r="A35" s="42">
        <f t="shared" ref="A35:A39" si="18">A34+1</f>
        <v>2019</v>
      </c>
      <c r="B35" s="47">
        <f>SUMIF('1.FinancialPosition'!$A:$A,hiddenPage!$A$32,'1.FinancialPosition'!D:D)</f>
        <v>82714659.589999989</v>
      </c>
      <c r="C35" s="47"/>
      <c r="D35" s="48"/>
      <c r="E35" s="47"/>
      <c r="F35" s="47"/>
      <c r="G35" s="47"/>
      <c r="AA35" s="42">
        <f t="shared" si="5"/>
        <v>24</v>
      </c>
      <c r="AD35" s="42" t="str">
        <f>IF(AB35=Charts!$F$20,hiddenPage!AA35,"")</f>
        <v/>
      </c>
      <c r="AE35" s="42" t="e">
        <f>SMALL($AD$3:$AD$35,ROWS($AD$3:AD35))</f>
        <v>#NUM!</v>
      </c>
    </row>
    <row r="36" spans="1:31" x14ac:dyDescent="0.35">
      <c r="A36" s="42">
        <f t="shared" si="18"/>
        <v>2020</v>
      </c>
      <c r="B36" s="47">
        <f>SUMIF('1.FinancialPosition'!$A:$A,hiddenPage!$A$32,'1.FinancialPosition'!E:E)</f>
        <v>78436250.86999999</v>
      </c>
      <c r="C36" s="47"/>
      <c r="D36" s="48"/>
      <c r="E36" s="47"/>
      <c r="F36" s="47"/>
      <c r="G36" s="47"/>
      <c r="AA36" s="42">
        <f t="shared" si="5"/>
        <v>25</v>
      </c>
      <c r="AD36" s="42" t="str">
        <f>IF(AB36=Charts!$F$20,hiddenPage!AA36,"")</f>
        <v/>
      </c>
      <c r="AE36" s="42" t="e">
        <f>SMALL($AD$3:$AD$35,ROWS($AD$3:AD36))</f>
        <v>#NUM!</v>
      </c>
    </row>
    <row r="37" spans="1:31" x14ac:dyDescent="0.35">
      <c r="A37" s="42">
        <f t="shared" si="18"/>
        <v>2021</v>
      </c>
      <c r="B37" s="47">
        <f>SUMIF('1.FinancialPosition'!$A:$A,hiddenPage!$A$32,'1.FinancialPosition'!F:F)</f>
        <v>105658368</v>
      </c>
      <c r="C37" s="47"/>
      <c r="D37" s="48"/>
      <c r="E37" s="47"/>
      <c r="F37" s="47"/>
      <c r="G37" s="47"/>
    </row>
    <row r="38" spans="1:31" x14ac:dyDescent="0.35">
      <c r="A38" s="42">
        <f t="shared" si="18"/>
        <v>2022</v>
      </c>
      <c r="B38" s="47">
        <f>SUMIF('1.FinancialPosition'!$A:$A,hiddenPage!$A$32,'1.FinancialPosition'!G:G)</f>
        <v>146753533</v>
      </c>
      <c r="C38" s="47"/>
      <c r="D38" s="48"/>
      <c r="E38" s="47"/>
      <c r="F38" s="47"/>
      <c r="G38" s="47"/>
    </row>
    <row r="39" spans="1:31" x14ac:dyDescent="0.35">
      <c r="A39" s="42">
        <f t="shared" si="18"/>
        <v>2023</v>
      </c>
      <c r="B39" s="47">
        <f>SUMIF('1.FinancialPosition'!$A:$A,hiddenPage!$A$32,'1.FinancialPosition'!H:H)</f>
        <v>122197548</v>
      </c>
      <c r="C39" s="47"/>
      <c r="D39" s="48"/>
      <c r="E39" s="47"/>
      <c r="F39" s="47"/>
      <c r="G39" s="47"/>
    </row>
    <row r="41" spans="1:31" x14ac:dyDescent="0.35">
      <c r="B41" s="53" t="s">
        <v>179</v>
      </c>
      <c r="C41" s="53" t="s">
        <v>180</v>
      </c>
      <c r="D41" s="53" t="s">
        <v>181</v>
      </c>
      <c r="E41" s="53" t="s">
        <v>182</v>
      </c>
      <c r="F41" s="53" t="s">
        <v>178</v>
      </c>
      <c r="G41" s="53" t="s">
        <v>183</v>
      </c>
    </row>
    <row r="42" spans="1:31" x14ac:dyDescent="0.35">
      <c r="A42" s="54"/>
      <c r="F42" s="55">
        <f>B33</f>
        <v>59667442.590000004</v>
      </c>
      <c r="G42" s="55">
        <f>F42</f>
        <v>59667442.590000004</v>
      </c>
    </row>
    <row r="43" spans="1:31" x14ac:dyDescent="0.35">
      <c r="A43" s="42">
        <v>2018</v>
      </c>
      <c r="B43" s="49">
        <f>SUM(B42,E42:F42)-D43</f>
        <v>59667442.590000004</v>
      </c>
      <c r="C43" s="49"/>
      <c r="D43" s="49">
        <f>IF(G43&lt;0,-G43,0)</f>
        <v>0</v>
      </c>
      <c r="E43" s="49">
        <f>IF(G43&gt;0,G43,0)</f>
        <v>23264658.299999982</v>
      </c>
      <c r="G43" s="55">
        <f>B34-B33</f>
        <v>23264658.299999982</v>
      </c>
    </row>
    <row r="44" spans="1:31" x14ac:dyDescent="0.35">
      <c r="A44" s="42">
        <f>A43+1</f>
        <v>2019</v>
      </c>
      <c r="B44" s="49">
        <f>SUM(B43,E43:F43)-D44</f>
        <v>82714659.589999989</v>
      </c>
      <c r="C44" s="49"/>
      <c r="D44" s="49">
        <f t="shared" ref="D44:D48" si="19">IF(G44&lt;0,-G44,0)</f>
        <v>217441.29999999702</v>
      </c>
      <c r="E44" s="49">
        <f t="shared" ref="E44:E48" si="20">IF(G44&gt;0,G44,0)</f>
        <v>0</v>
      </c>
      <c r="G44" s="55">
        <f t="shared" ref="G44:G48" si="21">B35-B34</f>
        <v>-217441.29999999702</v>
      </c>
    </row>
    <row r="45" spans="1:31" x14ac:dyDescent="0.35">
      <c r="A45" s="42">
        <f t="shared" ref="A45:A48" si="22">A44+1</f>
        <v>2020</v>
      </c>
      <c r="B45" s="49">
        <f t="shared" ref="B45:B48" si="23">SUM(B44,E44:F44)-D45</f>
        <v>78436250.86999999</v>
      </c>
      <c r="C45" s="49"/>
      <c r="D45" s="49">
        <f t="shared" si="19"/>
        <v>4278408.7199999988</v>
      </c>
      <c r="E45" s="49">
        <f t="shared" si="20"/>
        <v>0</v>
      </c>
      <c r="G45" s="55">
        <f t="shared" si="21"/>
        <v>-4278408.7199999988</v>
      </c>
    </row>
    <row r="46" spans="1:31" x14ac:dyDescent="0.35">
      <c r="A46" s="42">
        <f t="shared" si="22"/>
        <v>2021</v>
      </c>
      <c r="B46" s="49">
        <f t="shared" si="23"/>
        <v>78436250.86999999</v>
      </c>
      <c r="C46" s="49"/>
      <c r="D46" s="49">
        <f t="shared" si="19"/>
        <v>0</v>
      </c>
      <c r="E46" s="49">
        <f t="shared" si="20"/>
        <v>27222117.13000001</v>
      </c>
      <c r="G46" s="55">
        <f t="shared" si="21"/>
        <v>27222117.13000001</v>
      </c>
    </row>
    <row r="47" spans="1:31" x14ac:dyDescent="0.35">
      <c r="A47" s="42">
        <f t="shared" si="22"/>
        <v>2022</v>
      </c>
      <c r="B47" s="49">
        <f t="shared" si="23"/>
        <v>105658368</v>
      </c>
      <c r="C47" s="49"/>
      <c r="D47" s="49">
        <f t="shared" si="19"/>
        <v>0</v>
      </c>
      <c r="E47" s="49">
        <f t="shared" si="20"/>
        <v>41095165</v>
      </c>
      <c r="G47" s="55">
        <f t="shared" si="21"/>
        <v>41095165</v>
      </c>
    </row>
    <row r="48" spans="1:31" x14ac:dyDescent="0.35">
      <c r="A48" s="42">
        <f t="shared" si="22"/>
        <v>2023</v>
      </c>
      <c r="B48" s="49">
        <f t="shared" si="23"/>
        <v>122197548</v>
      </c>
      <c r="C48" s="49"/>
      <c r="D48" s="49">
        <f t="shared" si="19"/>
        <v>24555985</v>
      </c>
      <c r="E48" s="49">
        <f t="shared" si="20"/>
        <v>0</v>
      </c>
      <c r="G48" s="55">
        <f t="shared" si="21"/>
        <v>-24555985</v>
      </c>
    </row>
    <row r="49" spans="1:18" x14ac:dyDescent="0.35">
      <c r="C49" s="49">
        <f>SUM(B48,E48:F48)-D49</f>
        <v>122197548</v>
      </c>
    </row>
    <row r="52" spans="1:18" x14ac:dyDescent="0.35">
      <c r="B52" s="42">
        <f>IF('2.Comprehensive income'!$X$23=B53,1,0)</f>
        <v>0</v>
      </c>
      <c r="C52" s="42">
        <f>IF('2.Comprehensive income'!$X$23=C53,1,0)</f>
        <v>0</v>
      </c>
      <c r="D52" s="42">
        <f>IF('2.Comprehensive income'!$X$23=D53,1,0)</f>
        <v>0</v>
      </c>
      <c r="E52" s="42">
        <f>IF('2.Comprehensive income'!$X$23=E53,1,0)</f>
        <v>0</v>
      </c>
      <c r="F52" s="42">
        <f>IF('2.Comprehensive income'!$X$23=F53,1,0)</f>
        <v>0</v>
      </c>
      <c r="G52" s="42">
        <f>IF('2.Comprehensive income'!$X$23=G53,1,0)</f>
        <v>0</v>
      </c>
      <c r="H52" s="42">
        <f>IF('2.Comprehensive income'!$X$23=H53,1,0)</f>
        <v>0</v>
      </c>
    </row>
    <row r="53" spans="1:18" x14ac:dyDescent="0.35">
      <c r="A53" s="53" t="s">
        <v>184</v>
      </c>
      <c r="B53" s="46">
        <f>B24</f>
        <v>2017</v>
      </c>
      <c r="C53" s="46">
        <f t="shared" ref="C53:H53" si="24">C24</f>
        <v>2018</v>
      </c>
      <c r="D53" s="46">
        <f t="shared" si="24"/>
        <v>2019</v>
      </c>
      <c r="E53" s="46">
        <f t="shared" si="24"/>
        <v>2020</v>
      </c>
      <c r="F53" s="46">
        <f t="shared" si="24"/>
        <v>2021</v>
      </c>
      <c r="G53" s="46">
        <f t="shared" si="24"/>
        <v>2022</v>
      </c>
      <c r="H53" s="46">
        <f t="shared" si="24"/>
        <v>2023</v>
      </c>
      <c r="I53" s="53" t="s">
        <v>185</v>
      </c>
      <c r="J53" s="53" t="s">
        <v>186</v>
      </c>
      <c r="L53" s="52" t="s">
        <v>187</v>
      </c>
      <c r="N53" s="52" t="s">
        <v>188</v>
      </c>
      <c r="Q53" s="53" t="s">
        <v>189</v>
      </c>
      <c r="R53" s="53" t="s">
        <v>190</v>
      </c>
    </row>
    <row r="54" spans="1:18" x14ac:dyDescent="0.35">
      <c r="A54" s="21" t="s">
        <v>191</v>
      </c>
      <c r="B54" s="17"/>
      <c r="C54" s="17"/>
      <c r="D54" s="17"/>
      <c r="E54" s="17"/>
      <c r="F54" s="17"/>
      <c r="G54" s="17"/>
      <c r="H54" s="31"/>
      <c r="I54" s="64">
        <f>SUMPRODUCT($B$52:$H$52,B54:H54)</f>
        <v>0</v>
      </c>
      <c r="J54" s="55">
        <f>RANK(I54,$I$54:$I$60,0)+COUNTIF($I$54:I54,I54)-1</f>
        <v>1</v>
      </c>
      <c r="L54" s="52">
        <v>1</v>
      </c>
      <c r="N54" s="52" t="str">
        <f>INDEX($A$54:$A$60,MATCH(L54,$J$54:$J$60,0))</f>
        <v>CP1</v>
      </c>
      <c r="Q54" s="47">
        <f>SUMIF($A$54:$A$60,N54,$I$54:$I$60)</f>
        <v>0</v>
      </c>
      <c r="R54" s="68" t="e">
        <f>Q54/$Q$61</f>
        <v>#DIV/0!</v>
      </c>
    </row>
    <row r="55" spans="1:18" x14ac:dyDescent="0.35">
      <c r="A55" s="21" t="s">
        <v>192</v>
      </c>
      <c r="B55" s="17"/>
      <c r="C55" s="17"/>
      <c r="D55" s="17"/>
      <c r="E55" s="17"/>
      <c r="F55" s="17"/>
      <c r="G55" s="17"/>
      <c r="H55" s="31"/>
      <c r="I55" s="64">
        <f t="shared" ref="I55:I60" si="25">SUMPRODUCT($B$52:$H$52,B55:H55)</f>
        <v>0</v>
      </c>
      <c r="J55" s="55">
        <f>RANK(I55,$I$54:$I$60,0)+COUNTIF($I$54:I55,I55)-1</f>
        <v>2</v>
      </c>
      <c r="L55" s="52">
        <f>L54+1</f>
        <v>2</v>
      </c>
      <c r="N55" s="52" t="str">
        <f t="shared" ref="N55:N60" si="26">INDEX($A$54:$A$60,MATCH(L55,$J$54:$J$60,0))</f>
        <v>CP2</v>
      </c>
      <c r="Q55" s="47">
        <f t="shared" ref="Q55:Q60" si="27">SUMIF($A$54:$A$60,N55,$I$54:$I$60)</f>
        <v>0</v>
      </c>
      <c r="R55" s="68" t="e">
        <f t="shared" ref="R55:R60" si="28">Q55/$Q$61</f>
        <v>#DIV/0!</v>
      </c>
    </row>
    <row r="56" spans="1:18" x14ac:dyDescent="0.35">
      <c r="A56" s="21" t="s">
        <v>193</v>
      </c>
      <c r="B56" s="17"/>
      <c r="C56" s="17"/>
      <c r="D56" s="17"/>
      <c r="E56" s="17"/>
      <c r="F56" s="17"/>
      <c r="G56" s="17"/>
      <c r="H56" s="31"/>
      <c r="I56" s="64">
        <f t="shared" si="25"/>
        <v>0</v>
      </c>
      <c r="J56" s="55">
        <f>RANK(I56,$I$54:$I$60,0)+COUNTIF($I$54:I56,I56)-1</f>
        <v>3</v>
      </c>
      <c r="L56" s="52">
        <f t="shared" ref="L56:L60" si="29">L55+1</f>
        <v>3</v>
      </c>
      <c r="N56" s="52" t="str">
        <f t="shared" si="26"/>
        <v>CP3</v>
      </c>
      <c r="Q56" s="47">
        <f t="shared" si="27"/>
        <v>0</v>
      </c>
      <c r="R56" s="68" t="e">
        <f t="shared" si="28"/>
        <v>#DIV/0!</v>
      </c>
    </row>
    <row r="57" spans="1:18" x14ac:dyDescent="0.35">
      <c r="A57" s="21" t="s">
        <v>194</v>
      </c>
      <c r="B57" s="17"/>
      <c r="C57" s="17"/>
      <c r="D57" s="17"/>
      <c r="E57" s="17"/>
      <c r="F57" s="17"/>
      <c r="G57" s="17"/>
      <c r="H57" s="31"/>
      <c r="I57" s="64">
        <f t="shared" si="25"/>
        <v>0</v>
      </c>
      <c r="J57" s="55">
        <f>RANK(I57,$I$54:$I$60,0)+COUNTIF($I$54:I57,I57)-1</f>
        <v>4</v>
      </c>
      <c r="L57" s="52">
        <f t="shared" si="29"/>
        <v>4</v>
      </c>
      <c r="N57" s="52" t="str">
        <f t="shared" si="26"/>
        <v>CP4</v>
      </c>
      <c r="Q57" s="47">
        <f t="shared" si="27"/>
        <v>0</v>
      </c>
      <c r="R57" s="68" t="e">
        <f t="shared" si="28"/>
        <v>#DIV/0!</v>
      </c>
    </row>
    <row r="58" spans="1:18" x14ac:dyDescent="0.35">
      <c r="A58" s="21" t="s">
        <v>195</v>
      </c>
      <c r="B58" s="17"/>
      <c r="C58" s="17"/>
      <c r="D58" s="17"/>
      <c r="E58" s="17"/>
      <c r="F58" s="17"/>
      <c r="G58" s="17"/>
      <c r="H58" s="31"/>
      <c r="I58" s="64">
        <f t="shared" si="25"/>
        <v>0</v>
      </c>
      <c r="J58" s="55">
        <f>RANK(I58,$I$54:$I$60,0)+COUNTIF($I$54:I58,I58)-1</f>
        <v>5</v>
      </c>
      <c r="L58" s="52">
        <f t="shared" si="29"/>
        <v>5</v>
      </c>
      <c r="N58" s="52" t="str">
        <f t="shared" si="26"/>
        <v>CP5</v>
      </c>
      <c r="Q58" s="47">
        <f t="shared" si="27"/>
        <v>0</v>
      </c>
      <c r="R58" s="68" t="e">
        <f t="shared" si="28"/>
        <v>#DIV/0!</v>
      </c>
    </row>
    <row r="59" spans="1:18" x14ac:dyDescent="0.35">
      <c r="A59" s="21" t="s">
        <v>196</v>
      </c>
      <c r="B59" s="17"/>
      <c r="C59" s="17"/>
      <c r="D59" s="17"/>
      <c r="E59" s="17"/>
      <c r="F59" s="17"/>
      <c r="G59" s="17"/>
      <c r="H59" s="31"/>
      <c r="I59" s="64">
        <f t="shared" si="25"/>
        <v>0</v>
      </c>
      <c r="J59" s="55">
        <f>RANK(I59,$I$54:$I$60,0)+COUNTIF($I$54:I59,I59)-1</f>
        <v>6</v>
      </c>
      <c r="L59" s="52">
        <f t="shared" si="29"/>
        <v>6</v>
      </c>
      <c r="N59" s="52" t="str">
        <f t="shared" si="26"/>
        <v>CP6</v>
      </c>
      <c r="Q59" s="47">
        <f t="shared" si="27"/>
        <v>0</v>
      </c>
      <c r="R59" s="68" t="e">
        <f t="shared" si="28"/>
        <v>#DIV/0!</v>
      </c>
    </row>
    <row r="60" spans="1:18" x14ac:dyDescent="0.35">
      <c r="A60" s="21" t="s">
        <v>197</v>
      </c>
      <c r="B60" s="17"/>
      <c r="C60" s="17"/>
      <c r="D60" s="17"/>
      <c r="E60" s="17"/>
      <c r="F60" s="17"/>
      <c r="G60" s="17"/>
      <c r="H60" s="31"/>
      <c r="I60" s="64">
        <f t="shared" si="25"/>
        <v>0</v>
      </c>
      <c r="J60" s="55">
        <f>RANK(I60,$I$54:$I$60,0)+COUNTIF($I$54:I60,I60)-1</f>
        <v>7</v>
      </c>
      <c r="L60" s="52">
        <f t="shared" si="29"/>
        <v>7</v>
      </c>
      <c r="N60" s="52" t="str">
        <f t="shared" si="26"/>
        <v>CP7</v>
      </c>
      <c r="Q60" s="47">
        <f t="shared" si="27"/>
        <v>0</v>
      </c>
      <c r="R60" s="68" t="e">
        <f t="shared" si="28"/>
        <v>#DIV/0!</v>
      </c>
    </row>
    <row r="61" spans="1:18" x14ac:dyDescent="0.35">
      <c r="Q61" s="55">
        <f>SUM(Q54:Q60)</f>
        <v>0</v>
      </c>
    </row>
    <row r="63" spans="1:18" x14ac:dyDescent="0.35">
      <c r="A63" s="53" t="str">
        <f>"Evolution of the sector """&amp;'2.Comprehensive income'!X33&amp;""""</f>
        <v>Evolution of the sector "Regenerated polymers&amp;compounds"</v>
      </c>
      <c r="B63" s="53"/>
      <c r="C63" s="53"/>
      <c r="D63" s="53"/>
      <c r="E63" s="53"/>
      <c r="F63" s="53"/>
      <c r="G63" s="53"/>
      <c r="H63" s="53"/>
    </row>
    <row r="64" spans="1:18" x14ac:dyDescent="0.35">
      <c r="A64" s="53"/>
      <c r="B64" s="53"/>
      <c r="C64" s="53"/>
      <c r="D64" s="53"/>
      <c r="E64" s="53"/>
      <c r="F64" s="53"/>
      <c r="G64" s="53"/>
      <c r="H64" s="53"/>
      <c r="Q64" s="42" t="str">
        <f>"Total Sales :"&amp;TEXT(Q61,"#,##0;[Red]-#,##0")&amp;" lei"</f>
        <v>Total Sales :0 lei</v>
      </c>
    </row>
    <row r="65" spans="1:17" x14ac:dyDescent="0.35">
      <c r="A65" s="53"/>
      <c r="B65" s="53"/>
      <c r="C65" s="53"/>
      <c r="D65" s="53"/>
      <c r="E65" s="53"/>
      <c r="F65" s="53"/>
      <c r="G65" s="53"/>
      <c r="H65" s="53"/>
    </row>
    <row r="66" spans="1:17" x14ac:dyDescent="0.35">
      <c r="A66" s="53" t="s">
        <v>184</v>
      </c>
      <c r="B66" s="53">
        <v>2017</v>
      </c>
      <c r="C66" s="53">
        <f>B66+1</f>
        <v>2018</v>
      </c>
      <c r="D66" s="53">
        <f t="shared" ref="D66:H66" si="30">C66+1</f>
        <v>2019</v>
      </c>
      <c r="E66" s="53">
        <f t="shared" si="30"/>
        <v>2020</v>
      </c>
      <c r="F66" s="53">
        <f t="shared" si="30"/>
        <v>2021</v>
      </c>
      <c r="G66" s="53">
        <f t="shared" si="30"/>
        <v>2022</v>
      </c>
      <c r="H66" s="53">
        <f t="shared" si="30"/>
        <v>2023</v>
      </c>
      <c r="Q66" s="42" t="str">
        <f>"Sales of finished products in "&amp;'2.Comprehensive income'!X23</f>
        <v xml:space="preserve">Sales of finished products in </v>
      </c>
    </row>
    <row r="67" spans="1:17" x14ac:dyDescent="0.35">
      <c r="A67" s="53" t="s">
        <v>211</v>
      </c>
      <c r="B67" s="81">
        <f>'2.Comprehensive income'!C36</f>
        <v>101155949.34</v>
      </c>
      <c r="C67" s="81">
        <f>'2.Comprehensive income'!D36</f>
        <v>108553299.26000002</v>
      </c>
      <c r="D67" s="81">
        <f>'2.Comprehensive income'!E36</f>
        <v>103347658.91</v>
      </c>
      <c r="E67" s="81">
        <f>'2.Comprehensive income'!F36</f>
        <v>101171874.89999998</v>
      </c>
      <c r="F67" s="81">
        <f>'2.Comprehensive income'!G36</f>
        <v>125387822.75</v>
      </c>
      <c r="G67" s="81">
        <f>'2.Comprehensive income'!H36</f>
        <v>127314643.90000001</v>
      </c>
      <c r="H67" s="81">
        <f>'2.Comprehensive income'!I36</f>
        <v>109074941.45000003</v>
      </c>
      <c r="I67" s="53">
        <f>IF(A67='2.Comprehensive income'!$X$33,1,0)</f>
        <v>0</v>
      </c>
    </row>
    <row r="68" spans="1:17" x14ac:dyDescent="0.35">
      <c r="A68" s="53" t="s">
        <v>212</v>
      </c>
      <c r="B68" s="81">
        <f>'2.Comprehensive income'!C37</f>
        <v>32045842.160000008</v>
      </c>
      <c r="C68" s="81">
        <f>'2.Comprehensive income'!D37</f>
        <v>34431228.289999992</v>
      </c>
      <c r="D68" s="81">
        <f>'2.Comprehensive income'!E37</f>
        <v>30961367.02</v>
      </c>
      <c r="E68" s="81">
        <f>'2.Comprehensive income'!F37</f>
        <v>23154618.529999994</v>
      </c>
      <c r="F68" s="81">
        <f>'2.Comprehensive income'!G37</f>
        <v>38271305.11999999</v>
      </c>
      <c r="G68" s="81">
        <f>'2.Comprehensive income'!H37</f>
        <v>46502131.649999984</v>
      </c>
      <c r="H68" s="81">
        <f>'2.Comprehensive income'!I37</f>
        <v>37905250.480000019</v>
      </c>
      <c r="I68" s="53">
        <f>IF(A68='2.Comprehensive income'!$X$33,1,0)</f>
        <v>1</v>
      </c>
    </row>
    <row r="69" spans="1:17" x14ac:dyDescent="0.35">
      <c r="A69" s="53" t="s">
        <v>213</v>
      </c>
      <c r="B69" s="81">
        <f>'2.Comprehensive income'!C38</f>
        <v>6927091.4000000022</v>
      </c>
      <c r="C69" s="81">
        <f>'2.Comprehensive income'!D38</f>
        <v>5402107.4799999995</v>
      </c>
      <c r="D69" s="81">
        <f>'2.Comprehensive income'!E38</f>
        <v>5607112.0099999998</v>
      </c>
      <c r="E69" s="81">
        <f>'2.Comprehensive income'!F38</f>
        <v>5512011.29</v>
      </c>
      <c r="F69" s="81">
        <f>'2.Comprehensive income'!G38</f>
        <v>5831907.4100000001</v>
      </c>
      <c r="G69" s="81">
        <f>'2.Comprehensive income'!H38</f>
        <v>9489499.3099999987</v>
      </c>
      <c r="H69" s="81">
        <f>'2.Comprehensive income'!I38</f>
        <v>6351216.3600000003</v>
      </c>
      <c r="I69" s="53">
        <f>IF(A69='2.Comprehensive income'!$X$33,1,0)</f>
        <v>0</v>
      </c>
    </row>
    <row r="70" spans="1:17" x14ac:dyDescent="0.35">
      <c r="A70" s="53" t="s">
        <v>202</v>
      </c>
      <c r="B70" s="81">
        <f>'2.Comprehensive income'!C39</f>
        <v>55011813.029999934</v>
      </c>
      <c r="C70" s="81">
        <f>'2.Comprehensive income'!D39</f>
        <v>50074083.759999976</v>
      </c>
      <c r="D70" s="81">
        <f>'2.Comprehensive income'!E39</f>
        <v>43941141.789999999</v>
      </c>
      <c r="E70" s="81">
        <f>'2.Comprehensive income'!F39</f>
        <v>51307967.540000007</v>
      </c>
      <c r="F70" s="81">
        <f>'2.Comprehensive income'!G39</f>
        <v>95246611.829999998</v>
      </c>
      <c r="G70" s="81">
        <f>'2.Comprehensive income'!H39</f>
        <v>79494779.260000005</v>
      </c>
      <c r="H70" s="81">
        <f>'2.Comprehensive income'!I39</f>
        <v>60899445.830000013</v>
      </c>
      <c r="I70" s="53">
        <f>IF(A70='2.Comprehensive income'!$X$33,1,0)</f>
        <v>0</v>
      </c>
    </row>
    <row r="71" spans="1:17" x14ac:dyDescent="0.35">
      <c r="A71" s="53"/>
      <c r="B71" s="81"/>
      <c r="C71" s="81"/>
      <c r="D71" s="81"/>
      <c r="E71" s="81"/>
      <c r="F71" s="81"/>
      <c r="G71" s="81"/>
      <c r="H71" s="82"/>
    </row>
    <row r="72" spans="1:17" x14ac:dyDescent="0.35">
      <c r="A72" s="53"/>
      <c r="B72" s="53"/>
      <c r="C72" s="53"/>
      <c r="D72" s="53"/>
      <c r="E72" s="53"/>
      <c r="F72" s="53"/>
      <c r="G72" s="53"/>
      <c r="H72" s="53"/>
    </row>
    <row r="73" spans="1:17" x14ac:dyDescent="0.35">
      <c r="A73" s="53"/>
      <c r="B73" s="53"/>
      <c r="C73" s="53"/>
      <c r="D73" s="53"/>
      <c r="E73" s="53"/>
      <c r="F73" s="53"/>
      <c r="G73" s="53"/>
      <c r="H73" s="53"/>
    </row>
    <row r="74" spans="1:17" x14ac:dyDescent="0.35">
      <c r="A74" s="53"/>
      <c r="B74" s="53"/>
      <c r="C74" s="53"/>
      <c r="D74" s="53"/>
      <c r="E74" s="53"/>
      <c r="F74" s="53"/>
      <c r="G74" s="53"/>
      <c r="H74" s="82"/>
    </row>
    <row r="75" spans="1:17" x14ac:dyDescent="0.35">
      <c r="A75" s="53" t="s">
        <v>184</v>
      </c>
      <c r="B75" s="53">
        <f>B66</f>
        <v>2017</v>
      </c>
      <c r="C75" s="53">
        <f t="shared" ref="C75:H75" si="31">C66</f>
        <v>2018</v>
      </c>
      <c r="D75" s="53">
        <f t="shared" si="31"/>
        <v>2019</v>
      </c>
      <c r="E75" s="53">
        <f t="shared" si="31"/>
        <v>2020</v>
      </c>
      <c r="F75" s="53">
        <f t="shared" si="31"/>
        <v>2021</v>
      </c>
      <c r="G75" s="53">
        <f t="shared" si="31"/>
        <v>2022</v>
      </c>
      <c r="H75" s="53">
        <f t="shared" si="31"/>
        <v>2023</v>
      </c>
    </row>
    <row r="76" spans="1:17" x14ac:dyDescent="0.35">
      <c r="A76" s="53"/>
      <c r="B76" s="81">
        <f>SUMPRODUCT(B67:B70,$I$67:$I$70)</f>
        <v>32045842.160000008</v>
      </c>
      <c r="C76" s="81">
        <f t="shared" ref="C76:H76" si="32">SUMPRODUCT(C67:C70,$I$67:$I$70)</f>
        <v>34431228.289999992</v>
      </c>
      <c r="D76" s="81">
        <f t="shared" si="32"/>
        <v>30961367.02</v>
      </c>
      <c r="E76" s="81">
        <f t="shared" si="32"/>
        <v>23154618.529999994</v>
      </c>
      <c r="F76" s="81">
        <f t="shared" si="32"/>
        <v>38271305.11999999</v>
      </c>
      <c r="G76" s="81">
        <f t="shared" si="32"/>
        <v>46502131.649999984</v>
      </c>
      <c r="H76" s="81">
        <f t="shared" si="32"/>
        <v>37905250.480000019</v>
      </c>
    </row>
    <row r="77" spans="1:17" x14ac:dyDescent="0.35">
      <c r="A77" s="53"/>
      <c r="B77" s="53"/>
      <c r="C77" s="53"/>
      <c r="D77" s="53"/>
      <c r="E77" s="53"/>
      <c r="F77" s="53"/>
      <c r="G77" s="53"/>
      <c r="H77" s="82">
        <f>H76/B76-1</f>
        <v>0.18284457280744504</v>
      </c>
    </row>
    <row r="78" spans="1:17" x14ac:dyDescent="0.35">
      <c r="A78" s="53"/>
      <c r="B78" s="53"/>
      <c r="C78" s="82">
        <f>C76/B76-1</f>
        <v>7.4436680992501669E-2</v>
      </c>
      <c r="D78" s="82">
        <f t="shared" ref="D78:H78" si="33">D76/C76-1</f>
        <v>-0.10077657528725914</v>
      </c>
      <c r="E78" s="82">
        <f t="shared" si="33"/>
        <v>-0.25214482567766172</v>
      </c>
      <c r="F78" s="82">
        <f t="shared" si="33"/>
        <v>0.65285837339165176</v>
      </c>
      <c r="G78" s="82">
        <f t="shared" si="33"/>
        <v>0.21506521672548584</v>
      </c>
      <c r="H78" s="82">
        <f t="shared" si="33"/>
        <v>-0.18487069011598667</v>
      </c>
    </row>
    <row r="79" spans="1:17" x14ac:dyDescent="0.35">
      <c r="A79" s="53"/>
      <c r="B79" s="53"/>
      <c r="C79" s="53"/>
      <c r="D79" s="53"/>
      <c r="E79" s="53"/>
      <c r="F79" s="53"/>
      <c r="G79" s="53"/>
      <c r="H79" s="53"/>
    </row>
    <row r="80" spans="1:17" x14ac:dyDescent="0.35">
      <c r="A80" s="53"/>
      <c r="B80" s="53"/>
      <c r="C80" s="53"/>
      <c r="D80" s="53"/>
      <c r="E80" s="53"/>
      <c r="F80" s="53"/>
      <c r="G80" s="53"/>
      <c r="H80" s="53"/>
    </row>
    <row r="81" spans="1:9" x14ac:dyDescent="0.35">
      <c r="A81" s="53"/>
      <c r="B81" s="53"/>
      <c r="C81" s="53"/>
      <c r="D81" s="53"/>
      <c r="E81" s="53"/>
      <c r="F81" s="53"/>
      <c r="G81" s="53"/>
      <c r="H81" s="82"/>
    </row>
    <row r="82" spans="1:9" x14ac:dyDescent="0.35">
      <c r="B82" s="46">
        <f>B9</f>
        <v>2017</v>
      </c>
      <c r="C82" s="46">
        <f t="shared" ref="C82:H82" si="34">C9</f>
        <v>2018</v>
      </c>
      <c r="D82" s="46">
        <f t="shared" si="34"/>
        <v>2019</v>
      </c>
      <c r="E82" s="46">
        <f t="shared" si="34"/>
        <v>2020</v>
      </c>
      <c r="F82" s="46">
        <f t="shared" si="34"/>
        <v>2021</v>
      </c>
      <c r="G82" s="46">
        <f t="shared" si="34"/>
        <v>2022</v>
      </c>
      <c r="H82" s="46">
        <f t="shared" si="34"/>
        <v>2023</v>
      </c>
      <c r="I82" s="46"/>
    </row>
    <row r="83" spans="1:9" x14ac:dyDescent="0.35">
      <c r="A83" s="45" t="str">
        <f>A10</f>
        <v>Total non-current assets</v>
      </c>
      <c r="B83" s="68">
        <f>B10/B$86</f>
        <v>0.77875716397752248</v>
      </c>
      <c r="C83" s="68">
        <f t="shared" ref="C83:H83" si="35">C10/C$86</f>
        <v>0.67264607698530154</v>
      </c>
      <c r="D83" s="68">
        <f t="shared" si="35"/>
        <v>0.66402773545916127</v>
      </c>
      <c r="E83" s="68">
        <f t="shared" si="35"/>
        <v>0.66096895005440959</v>
      </c>
      <c r="F83" s="68">
        <f t="shared" si="35"/>
        <v>0.56701448515870667</v>
      </c>
      <c r="G83" s="68">
        <f t="shared" si="35"/>
        <v>0.47600640384382881</v>
      </c>
      <c r="H83" s="68">
        <f t="shared" si="35"/>
        <v>0.49323853214665442</v>
      </c>
      <c r="I83" s="47"/>
    </row>
    <row r="84" spans="1:9" x14ac:dyDescent="0.35">
      <c r="A84" s="45" t="str">
        <f>A11</f>
        <v>Total current assets</v>
      </c>
      <c r="B84" s="68">
        <f>B11/B$86</f>
        <v>0.22124283602247755</v>
      </c>
      <c r="C84" s="68">
        <f t="shared" ref="C84:H84" si="36">C11/C$86</f>
        <v>0.32735392301469846</v>
      </c>
      <c r="D84" s="68">
        <f t="shared" si="36"/>
        <v>0.33597226454083884</v>
      </c>
      <c r="E84" s="68">
        <f t="shared" si="36"/>
        <v>0.33903104994559041</v>
      </c>
      <c r="F84" s="68">
        <f t="shared" si="36"/>
        <v>0.43298551484129338</v>
      </c>
      <c r="G84" s="68">
        <f t="shared" si="36"/>
        <v>0.52399359615617125</v>
      </c>
      <c r="H84" s="68">
        <f t="shared" si="36"/>
        <v>0.50676146785334553</v>
      </c>
      <c r="I84" s="47"/>
    </row>
    <row r="86" spans="1:9" x14ac:dyDescent="0.35">
      <c r="B86" s="55">
        <f>B10+B11</f>
        <v>269692088.85000002</v>
      </c>
      <c r="C86" s="55">
        <f t="shared" ref="C86:H86" si="37">C10+C11</f>
        <v>253340788.24000001</v>
      </c>
      <c r="D86" s="55">
        <f t="shared" si="37"/>
        <v>246194904.51999998</v>
      </c>
      <c r="E86" s="55">
        <f t="shared" si="37"/>
        <v>231354180.93000001</v>
      </c>
      <c r="F86" s="55">
        <f t="shared" si="37"/>
        <v>244022870</v>
      </c>
      <c r="G86" s="55">
        <f t="shared" si="37"/>
        <v>280067417</v>
      </c>
      <c r="H86" s="55">
        <f t="shared" si="37"/>
        <v>241134253</v>
      </c>
    </row>
    <row r="90" spans="1:9" x14ac:dyDescent="0.35">
      <c r="A90" s="42" t="str">
        <f>"Total "&amp;Charts!N2</f>
        <v>Total Assets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39"/>
  <sheetViews>
    <sheetView zoomScale="82" zoomScaleNormal="82" workbookViewId="0">
      <selection activeCell="AB19" sqref="AB19"/>
    </sheetView>
  </sheetViews>
  <sheetFormatPr defaultColWidth="9.08984375" defaultRowHeight="14.5" x14ac:dyDescent="0.35"/>
  <cols>
    <col min="1" max="1" width="5.6328125" style="93" customWidth="1"/>
    <col min="2" max="6" width="9.08984375" style="93"/>
    <col min="7" max="7" width="15.6328125" style="93" customWidth="1"/>
    <col min="8" max="8" width="9.08984375" style="93"/>
    <col min="9" max="9" width="1.08984375" style="93" customWidth="1"/>
    <col min="10" max="16" width="9.08984375" style="93"/>
    <col min="17" max="17" width="3.6328125" style="93" customWidth="1"/>
    <col min="18" max="16384" width="9.08984375" style="93"/>
  </cols>
  <sheetData>
    <row r="1" spans="2:20" ht="8.25" customHeight="1" x14ac:dyDescent="0.35"/>
    <row r="2" spans="2:20" x14ac:dyDescent="0.35">
      <c r="B2" s="250" t="s">
        <v>163</v>
      </c>
      <c r="C2" s="250"/>
      <c r="D2" s="250"/>
      <c r="E2" s="250"/>
      <c r="F2" s="251" t="s">
        <v>3</v>
      </c>
      <c r="G2" s="251"/>
      <c r="H2" s="251"/>
      <c r="I2" s="94"/>
      <c r="J2" s="249" t="s">
        <v>176</v>
      </c>
      <c r="K2" s="249"/>
      <c r="L2" s="249"/>
      <c r="M2" s="249"/>
      <c r="N2" s="245" t="s">
        <v>166</v>
      </c>
      <c r="O2" s="245"/>
      <c r="P2" s="94"/>
      <c r="Q2" s="94"/>
      <c r="R2" s="249" t="s">
        <v>170</v>
      </c>
      <c r="S2" s="249"/>
      <c r="T2" s="227">
        <v>2023</v>
      </c>
    </row>
    <row r="3" spans="2:20" x14ac:dyDescent="0.35">
      <c r="B3" s="250" t="s">
        <v>164</v>
      </c>
      <c r="C3" s="250"/>
      <c r="D3" s="250"/>
      <c r="E3" s="250"/>
      <c r="F3" s="251" t="s">
        <v>5</v>
      </c>
      <c r="G3" s="251"/>
      <c r="H3" s="251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2:20" ht="5.25" customHeight="1" x14ac:dyDescent="0.35"/>
    <row r="19" spans="2:24" ht="9" customHeight="1" x14ac:dyDescent="0.35"/>
    <row r="20" spans="2:24" s="95" customFormat="1" ht="15.5" x14ac:dyDescent="0.35">
      <c r="B20" s="247" t="s">
        <v>176</v>
      </c>
      <c r="C20" s="247"/>
      <c r="D20" s="247"/>
      <c r="E20" s="247"/>
      <c r="F20" s="248" t="s">
        <v>151</v>
      </c>
      <c r="G20" s="248"/>
      <c r="H20" s="248"/>
      <c r="O20" s="247" t="s">
        <v>176</v>
      </c>
      <c r="P20" s="247"/>
      <c r="Q20" s="247"/>
      <c r="R20" s="247"/>
      <c r="S20" s="246" t="s">
        <v>5</v>
      </c>
      <c r="T20" s="246"/>
      <c r="U20" s="246"/>
      <c r="V20" s="246"/>
      <c r="W20" s="246"/>
      <c r="X20" s="246"/>
    </row>
    <row r="21" spans="2:24" ht="16.5" customHeight="1" x14ac:dyDescent="0.35">
      <c r="B21" s="247" t="s">
        <v>170</v>
      </c>
      <c r="C21" s="247"/>
      <c r="D21" s="247"/>
      <c r="E21" s="247"/>
      <c r="F21" s="245">
        <v>2023</v>
      </c>
      <c r="G21" s="245"/>
      <c r="H21" s="245"/>
    </row>
    <row r="39" spans="2:2" x14ac:dyDescent="0.35">
      <c r="B39" s="93" t="s">
        <v>69</v>
      </c>
    </row>
  </sheetData>
  <mergeCells count="13">
    <mergeCell ref="R2:S2"/>
    <mergeCell ref="B2:E2"/>
    <mergeCell ref="B3:E3"/>
    <mergeCell ref="J2:M2"/>
    <mergeCell ref="N2:O2"/>
    <mergeCell ref="F2:H2"/>
    <mergeCell ref="F3:H3"/>
    <mergeCell ref="S20:X20"/>
    <mergeCell ref="B21:E21"/>
    <mergeCell ref="F21:H21"/>
    <mergeCell ref="B20:E20"/>
    <mergeCell ref="F20:H20"/>
    <mergeCell ref="O20:R20"/>
  </mergeCells>
  <dataValidations count="4">
    <dataValidation type="list" allowBlank="1" showInputMessage="1" showErrorMessage="1" sqref="F2:F3 S20" xr:uid="{3E6CC772-2AAB-4AD0-A3D6-39532E581268}">
      <formula1>List1</formula1>
    </dataValidation>
    <dataValidation type="list" allowBlank="1" showInputMessage="1" showErrorMessage="1" sqref="N2:O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T2 F21:H21" xr:uid="{2995F19A-5709-42F1-AD1F-C9C75009E6FF}">
      <formula1>"2023,2022,2021,2020,2019,2017"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8" sqref="O18"/>
    </sheetView>
  </sheetViews>
  <sheetFormatPr defaultColWidth="9.08984375" defaultRowHeight="14.5" x14ac:dyDescent="0.35"/>
  <cols>
    <col min="1" max="2" width="40.08984375" style="1" customWidth="1"/>
    <col min="3" max="3" width="11.90625" style="1" bestFit="1" customWidth="1"/>
    <col min="4" max="4" width="12.08984375" style="1" bestFit="1" customWidth="1"/>
    <col min="5" max="5" width="12" style="1" bestFit="1" customWidth="1"/>
    <col min="6" max="8" width="11.90625" style="1" bestFit="1" customWidth="1"/>
    <col min="9" max="9" width="12" style="1" bestFit="1" customWidth="1"/>
    <col min="10" max="16384" width="9.08984375" style="1"/>
  </cols>
  <sheetData>
    <row r="1" spans="1:9" ht="15" thickBot="1" x14ac:dyDescent="0.4"/>
    <row r="2" spans="1:9" s="40" customFormat="1" ht="21.75" customHeight="1" thickBot="1" x14ac:dyDescent="0.4">
      <c r="A2" s="216" t="s">
        <v>0</v>
      </c>
      <c r="B2" s="216" t="s">
        <v>0</v>
      </c>
      <c r="C2" s="217">
        <v>2017</v>
      </c>
      <c r="D2" s="217">
        <f>C2+1</f>
        <v>2018</v>
      </c>
      <c r="E2" s="217">
        <f t="shared" ref="E2:I2" si="0">D2+1</f>
        <v>2019</v>
      </c>
      <c r="F2" s="217">
        <f t="shared" si="0"/>
        <v>2020</v>
      </c>
      <c r="G2" s="217">
        <f t="shared" si="0"/>
        <v>2021</v>
      </c>
      <c r="H2" s="217">
        <f t="shared" si="0"/>
        <v>2022</v>
      </c>
      <c r="I2" s="217">
        <f t="shared" si="0"/>
        <v>2023</v>
      </c>
    </row>
    <row r="3" spans="1:9" x14ac:dyDescent="0.35">
      <c r="A3" s="12" t="s">
        <v>105</v>
      </c>
      <c r="B3" s="12" t="s">
        <v>139</v>
      </c>
      <c r="C3" s="12">
        <f>'2.Comprehensive income'!C18</f>
        <v>4798065.6499999948</v>
      </c>
      <c r="D3" s="12">
        <f>'2.Comprehensive income'!D18</f>
        <v>4800354.1700000176</v>
      </c>
      <c r="E3" s="12">
        <f>'2.Comprehensive income'!E18</f>
        <v>370097.9599999818</v>
      </c>
      <c r="F3" s="12">
        <f>'2.Comprehensive income'!F18</f>
        <v>869105.43999996176</v>
      </c>
      <c r="G3" s="12">
        <f>'2.Comprehensive income'!G18</f>
        <v>-1447458</v>
      </c>
      <c r="H3" s="12">
        <f>'2.Comprehensive income'!H18</f>
        <v>51471690</v>
      </c>
      <c r="I3" s="228">
        <f>'2.Comprehensive income'!I18</f>
        <v>3313809</v>
      </c>
    </row>
    <row r="4" spans="1:9" x14ac:dyDescent="0.35">
      <c r="A4" s="12" t="s">
        <v>106</v>
      </c>
      <c r="B4" s="12" t="s">
        <v>140</v>
      </c>
      <c r="C4" s="12">
        <f>-'2.Comprehensive income'!C17</f>
        <v>940272</v>
      </c>
      <c r="D4" s="12">
        <f>-'2.Comprehensive income'!D17</f>
        <v>-334297</v>
      </c>
      <c r="E4" s="12">
        <f>-'2.Comprehensive income'!E17</f>
        <v>217442</v>
      </c>
      <c r="F4" s="12">
        <f>-'2.Comprehensive income'!F17</f>
        <v>238297</v>
      </c>
      <c r="G4" s="12">
        <f>-'2.Comprehensive income'!G17</f>
        <v>889087</v>
      </c>
      <c r="H4" s="12">
        <f>-'2.Comprehensive income'!H17</f>
        <v>912071</v>
      </c>
      <c r="I4" s="228">
        <f>-'2.Comprehensive income'!I17</f>
        <v>182523</v>
      </c>
    </row>
    <row r="5" spans="1:9" x14ac:dyDescent="0.35">
      <c r="A5" s="12" t="s">
        <v>107</v>
      </c>
      <c r="B5" s="12" t="s">
        <v>141</v>
      </c>
      <c r="C5" s="12">
        <v>1587652.08</v>
      </c>
      <c r="D5" s="12">
        <v>1702833.93</v>
      </c>
      <c r="E5" s="12">
        <v>1472607.34</v>
      </c>
      <c r="F5" s="12">
        <v>1159858</v>
      </c>
      <c r="G5" s="12">
        <v>953055</v>
      </c>
      <c r="H5" s="12">
        <v>1286399</v>
      </c>
      <c r="I5" s="228">
        <v>1807462</v>
      </c>
    </row>
    <row r="6" spans="1:9" x14ac:dyDescent="0.35">
      <c r="A6" s="34" t="s">
        <v>99</v>
      </c>
      <c r="B6" s="34" t="s">
        <v>99</v>
      </c>
      <c r="C6" s="34">
        <f t="shared" ref="C6" si="1">C3+C4+C5</f>
        <v>7325989.7299999949</v>
      </c>
      <c r="D6" s="34">
        <f t="shared" ref="D6:I6" si="2">D3+D4+D5</f>
        <v>6168891.1000000173</v>
      </c>
      <c r="E6" s="34">
        <f t="shared" si="2"/>
        <v>2060147.2999999819</v>
      </c>
      <c r="F6" s="34">
        <f t="shared" si="2"/>
        <v>2267260.4399999618</v>
      </c>
      <c r="G6" s="34">
        <f t="shared" si="2"/>
        <v>394684</v>
      </c>
      <c r="H6" s="34">
        <f t="shared" si="2"/>
        <v>53670160</v>
      </c>
      <c r="I6" s="229">
        <f t="shared" si="2"/>
        <v>5303794</v>
      </c>
    </row>
    <row r="7" spans="1:9" x14ac:dyDescent="0.35">
      <c r="A7" s="12" t="s">
        <v>108</v>
      </c>
      <c r="B7" s="12" t="s">
        <v>142</v>
      </c>
      <c r="C7" s="12">
        <v>10706926.199999999</v>
      </c>
      <c r="D7" s="12">
        <v>10797118.58</v>
      </c>
      <c r="E7" s="12">
        <v>10634489.470000001</v>
      </c>
      <c r="F7" s="12">
        <v>10202833</v>
      </c>
      <c r="G7" s="12">
        <v>9977583</v>
      </c>
      <c r="H7" s="12">
        <v>9609158</v>
      </c>
      <c r="I7" s="228">
        <v>9392805</v>
      </c>
    </row>
    <row r="8" spans="1:9" x14ac:dyDescent="0.35">
      <c r="A8" s="12" t="s">
        <v>109</v>
      </c>
      <c r="B8" s="12" t="s">
        <v>143</v>
      </c>
      <c r="C8" s="12">
        <v>2264435.7599999998</v>
      </c>
      <c r="D8" s="12">
        <v>2263168.92</v>
      </c>
      <c r="E8" s="12">
        <v>2275212.77</v>
      </c>
      <c r="F8" s="12">
        <v>2262431</v>
      </c>
      <c r="G8" s="12">
        <v>2259451</v>
      </c>
      <c r="H8" s="12">
        <v>2206664</v>
      </c>
      <c r="I8" s="228">
        <v>2113978</v>
      </c>
    </row>
    <row r="9" spans="1:9" x14ac:dyDescent="0.35">
      <c r="A9" s="34" t="s">
        <v>75</v>
      </c>
      <c r="B9" s="34" t="s">
        <v>75</v>
      </c>
      <c r="C9" s="34">
        <f t="shared" ref="C9" si="3">C6+C7-C8</f>
        <v>15768480.169999992</v>
      </c>
      <c r="D9" s="34">
        <f t="shared" ref="D9:I9" si="4">D6+D7-D8</f>
        <v>14702840.760000018</v>
      </c>
      <c r="E9" s="34">
        <f t="shared" si="4"/>
        <v>10419423.999999983</v>
      </c>
      <c r="F9" s="34">
        <f t="shared" si="4"/>
        <v>10207662.439999962</v>
      </c>
      <c r="G9" s="34">
        <f t="shared" si="4"/>
        <v>8112816</v>
      </c>
      <c r="H9" s="34">
        <f t="shared" si="4"/>
        <v>61072654</v>
      </c>
      <c r="I9" s="229">
        <f t="shared" si="4"/>
        <v>12582621</v>
      </c>
    </row>
    <row r="12" spans="1:9" x14ac:dyDescent="0.35">
      <c r="A12" s="1" t="s">
        <v>162</v>
      </c>
    </row>
    <row r="14" spans="1:9" x14ac:dyDescent="0.35">
      <c r="A14" s="1" t="s">
        <v>69</v>
      </c>
      <c r="F14" s="73"/>
      <c r="G14" s="73"/>
      <c r="H14" s="73"/>
      <c r="I14" s="73"/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Contents</vt:lpstr>
      <vt:lpstr>Snapshots</vt:lpstr>
      <vt:lpstr>1.FinancialPosition</vt:lpstr>
      <vt:lpstr>2.Comprehensive income</vt:lpstr>
      <vt:lpstr>3.Statement of cash flow</vt:lpstr>
      <vt:lpstr>4.Financial ratios</vt:lpstr>
      <vt:lpstr>hiddenPage</vt:lpstr>
      <vt:lpstr>Charts</vt:lpstr>
      <vt:lpstr>EBIT-EBITDA</vt:lpstr>
      <vt:lpstr>List1</vt:lpstr>
      <vt:lpstr>List2</vt:lpstr>
      <vt:lpstr>List3</vt:lpstr>
      <vt:lpstr>list9</vt:lpstr>
      <vt:lpstr>Selection1</vt:lpstr>
      <vt:lpstr>Selection2</vt:lpstr>
      <vt:lpstr>Selection3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2024-04-15T10:13:30Z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2020-02-12T06:31:51.2407510Z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655dda9b-06d6-40ed-9ecb-094885721513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