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/>
  <xr:revisionPtr revIDLastSave="164" documentId="8_{4C1ACC95-9ED3-4143-9924-E7CADBB9CA9C}" xr6:coauthVersionLast="47" xr6:coauthVersionMax="47" xr10:uidLastSave="{9794A3F8-8253-48CD-820D-563B11400E9B}"/>
  <bookViews>
    <workbookView xWindow="-110" yWindow="-110" windowWidth="25820" windowHeight="15500" tabRatio="871" xr2:uid="{00000000-000D-0000-FFFF-FFFF00000000}"/>
  </bookViews>
  <sheets>
    <sheet name="Cuprins" sheetId="6" r:id="rId1"/>
    <sheet name="hiddenPage" sheetId="10" state="hidden" r:id="rId2"/>
    <sheet name="Snapshots" sheetId="8" r:id="rId3"/>
    <sheet name="1.Pozitia financiara" sheetId="1" r:id="rId4"/>
    <sheet name="2.Sit.Rezultatului Global" sheetId="2" r:id="rId5"/>
    <sheet name="3.Sit. fluxurilor de numerar" sheetId="7" r:id="rId6"/>
    <sheet name="4.Indicatori financiari" sheetId="3" r:id="rId7"/>
    <sheet name="Grafice" sheetId="9" r:id="rId8"/>
    <sheet name="EBIT-EBITDA" sheetId="5" r:id="rId9"/>
  </sheets>
  <definedNames>
    <definedName name="Area">INDEX(hiddenPage!XEW1048572:XEW1,MATCH(hiddenPage!B1048571,hiddenPage!XFD1048572:XFD1,0)):INDEX(hiddenPage!XEW1048572:XEW1,MATCH(hiddenPage!B1048572,hiddenPage!XFD1048572:XFD1,0))</definedName>
    <definedName name="Data">IF(hiddenPage!$J$25=4,Selection3,IF(hiddenPage!$J$25=5,Selection2,Selection1))</definedName>
    <definedName name="List1">hiddenPage!$L$3:$L$10</definedName>
    <definedName name="List2">hiddenPage!$N$3:$N$6</definedName>
    <definedName name="List3">hiddenPage!$X$3:$X$7</definedName>
    <definedName name="Selection1">hiddenPage!$A$25:$G$30</definedName>
    <definedName name="Selection2">hiddenPage!$A$25:$G$29</definedName>
    <definedName name="Selection3">hiddenPage!$A$25:$G$28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0" i="7" l="1"/>
  <c r="D70" i="7"/>
  <c r="E70" i="7"/>
  <c r="F70" i="7"/>
  <c r="B70" i="7"/>
  <c r="E61" i="7"/>
  <c r="D61" i="7"/>
  <c r="C61" i="7"/>
  <c r="B61" i="7"/>
  <c r="E56" i="7"/>
  <c r="C56" i="7"/>
  <c r="B56" i="7"/>
  <c r="D42" i="7"/>
  <c r="D56" i="7" s="1"/>
  <c r="E36" i="7"/>
  <c r="E40" i="7" s="1"/>
  <c r="D36" i="7"/>
  <c r="D40" i="7" s="1"/>
  <c r="C31" i="7"/>
  <c r="C36" i="7" s="1"/>
  <c r="C40" i="7" s="1"/>
  <c r="B31" i="7"/>
  <c r="B36" i="7" s="1"/>
  <c r="B40" i="7" s="1"/>
  <c r="F61" i="7"/>
  <c r="F56" i="7"/>
  <c r="F36" i="7"/>
  <c r="F40" i="7" s="1"/>
  <c r="B62" i="7" l="1"/>
  <c r="B66" i="7" s="1"/>
  <c r="B69" i="7" s="1"/>
  <c r="F62" i="7"/>
  <c r="F64" i="7" s="1"/>
  <c r="C62" i="7"/>
  <c r="D62" i="7"/>
  <c r="E62" i="7"/>
  <c r="B64" i="7" l="1"/>
  <c r="E64" i="7"/>
  <c r="D66" i="7"/>
  <c r="D64" i="7"/>
  <c r="C64" i="7"/>
  <c r="C66" i="7"/>
  <c r="C69" i="7" s="1"/>
  <c r="E65" i="7" l="1"/>
  <c r="E66" i="7" s="1"/>
  <c r="D69" i="7"/>
  <c r="F65" i="7" l="1"/>
  <c r="F66" i="7" s="1"/>
  <c r="F69" i="7" s="1"/>
  <c r="E69" i="7"/>
  <c r="G26" i="1" l="1"/>
  <c r="C52" i="2" l="1"/>
  <c r="C35" i="2"/>
  <c r="C5" i="2" l="1"/>
  <c r="C4" i="2"/>
  <c r="C54" i="2"/>
  <c r="J54" i="2" l="1"/>
  <c r="I54" i="2"/>
  <c r="H54" i="2"/>
  <c r="G35" i="1"/>
  <c r="G31" i="1"/>
  <c r="G18" i="1"/>
  <c r="G11" i="1"/>
  <c r="G36" i="1" l="1"/>
  <c r="G37" i="1" s="1"/>
  <c r="G19" i="1"/>
  <c r="F22" i="2"/>
  <c r="F26" i="2" s="1"/>
  <c r="E22" i="2"/>
  <c r="E26" i="2" s="1"/>
  <c r="F12" i="2"/>
  <c r="F17" i="2" s="1"/>
  <c r="E12" i="2"/>
  <c r="E17" i="2" s="1"/>
  <c r="D12" i="2"/>
  <c r="D17" i="2" s="1"/>
  <c r="C12" i="2"/>
  <c r="C17" i="2" s="1"/>
  <c r="C19" i="2" s="1"/>
  <c r="C20" i="2" s="1"/>
  <c r="C22" i="2" s="1"/>
  <c r="C26" i="2" s="1"/>
  <c r="F40" i="2"/>
  <c r="F42" i="2" s="1"/>
  <c r="E40" i="2"/>
  <c r="E42" i="2" s="1"/>
  <c r="D40" i="2"/>
  <c r="D42" i="2" s="1"/>
  <c r="C40" i="2"/>
  <c r="C42" i="2" s="1"/>
  <c r="F53" i="2"/>
  <c r="E53" i="2"/>
  <c r="E58" i="2" s="1"/>
  <c r="D53" i="2"/>
  <c r="D58" i="2" s="1"/>
  <c r="C53" i="2"/>
  <c r="C58" i="2" s="1"/>
  <c r="F35" i="1"/>
  <c r="E35" i="1"/>
  <c r="D35" i="1"/>
  <c r="C35" i="1"/>
  <c r="F31" i="1"/>
  <c r="E31" i="1"/>
  <c r="D31" i="1"/>
  <c r="C31" i="1"/>
  <c r="F26" i="1"/>
  <c r="E26" i="1"/>
  <c r="D24" i="1"/>
  <c r="D26" i="1" s="1"/>
  <c r="C24" i="1"/>
  <c r="C26" i="1" s="1"/>
  <c r="F18" i="1"/>
  <c r="E18" i="1"/>
  <c r="D18" i="1"/>
  <c r="D19" i="1" s="1"/>
  <c r="C18" i="1"/>
  <c r="C19" i="1" s="1"/>
  <c r="F11" i="1"/>
  <c r="E11" i="1"/>
  <c r="D11" i="1"/>
  <c r="C11" i="1"/>
  <c r="D3" i="1"/>
  <c r="E3" i="1" s="1"/>
  <c r="F3" i="1" s="1"/>
  <c r="E3" i="8"/>
  <c r="F3" i="8" s="1"/>
  <c r="G3" i="8" s="1"/>
  <c r="H3" i="8" s="1"/>
  <c r="C36" i="1" l="1"/>
  <c r="D36" i="1"/>
  <c r="E19" i="1"/>
  <c r="E36" i="1"/>
  <c r="E37" i="1" s="1"/>
  <c r="F58" i="2"/>
  <c r="F19" i="1"/>
  <c r="F36" i="1"/>
  <c r="L54" i="2"/>
  <c r="C55" i="2"/>
  <c r="M54" i="2"/>
  <c r="D55" i="2"/>
  <c r="N54" i="2"/>
  <c r="E55" i="2"/>
  <c r="O54" i="2"/>
  <c r="F55" i="2"/>
  <c r="D19" i="2"/>
  <c r="D20" i="2" s="1"/>
  <c r="D22" i="2" s="1"/>
  <c r="D26" i="2" s="1"/>
  <c r="F19" i="2"/>
  <c r="E19" i="2"/>
  <c r="F37" i="1"/>
  <c r="C37" i="1"/>
  <c r="D37" i="1"/>
  <c r="O55" i="2" l="1"/>
  <c r="G6" i="3"/>
  <c r="N55" i="2"/>
  <c r="F6" i="3"/>
  <c r="M55" i="2"/>
  <c r="E6" i="3"/>
  <c r="L55" i="2"/>
  <c r="D6" i="3"/>
  <c r="J20" i="2"/>
  <c r="I14" i="2" l="1"/>
  <c r="H14" i="2"/>
  <c r="I28" i="2"/>
  <c r="H28" i="2"/>
  <c r="J27" i="2"/>
  <c r="I27" i="2"/>
  <c r="H27" i="2"/>
  <c r="I25" i="2"/>
  <c r="H25" i="2"/>
  <c r="I24" i="2"/>
  <c r="H24" i="2"/>
  <c r="J23" i="2"/>
  <c r="I23" i="2"/>
  <c r="H23" i="2"/>
  <c r="G22" i="2"/>
  <c r="I21" i="2"/>
  <c r="H21" i="2"/>
  <c r="I20" i="2"/>
  <c r="H20" i="2"/>
  <c r="J18" i="2"/>
  <c r="I18" i="2"/>
  <c r="H18" i="2"/>
  <c r="J16" i="2"/>
  <c r="I16" i="2"/>
  <c r="H16" i="2"/>
  <c r="J15" i="2"/>
  <c r="I15" i="2"/>
  <c r="H15" i="2"/>
  <c r="J13" i="2"/>
  <c r="I13" i="2"/>
  <c r="H13" i="2"/>
  <c r="G12" i="2"/>
  <c r="I12" i="2" s="1"/>
  <c r="J11" i="2"/>
  <c r="I11" i="2"/>
  <c r="H11" i="2"/>
  <c r="J10" i="2"/>
  <c r="I10" i="2"/>
  <c r="H10" i="2"/>
  <c r="J9" i="2"/>
  <c r="I9" i="2"/>
  <c r="H9" i="2"/>
  <c r="J8" i="2"/>
  <c r="I8" i="2"/>
  <c r="H8" i="2"/>
  <c r="J7" i="2"/>
  <c r="I7" i="2"/>
  <c r="H7" i="2"/>
  <c r="J6" i="2"/>
  <c r="I6" i="2"/>
  <c r="H6" i="2"/>
  <c r="J5" i="2"/>
  <c r="I5" i="2"/>
  <c r="H5" i="2"/>
  <c r="J4" i="2"/>
  <c r="I4" i="2"/>
  <c r="H4" i="2"/>
  <c r="G53" i="2"/>
  <c r="G58" i="2" s="1"/>
  <c r="J52" i="2"/>
  <c r="I52" i="2"/>
  <c r="H52" i="2"/>
  <c r="J51" i="2"/>
  <c r="I51" i="2"/>
  <c r="H51" i="2"/>
  <c r="J50" i="2"/>
  <c r="I50" i="2"/>
  <c r="H50" i="2"/>
  <c r="J49" i="2"/>
  <c r="I49" i="2"/>
  <c r="H49" i="2"/>
  <c r="J48" i="2"/>
  <c r="I48" i="2"/>
  <c r="H48" i="2"/>
  <c r="J47" i="2"/>
  <c r="I47" i="2"/>
  <c r="H47" i="2"/>
  <c r="C32" i="2"/>
  <c r="J41" i="2"/>
  <c r="I41" i="2"/>
  <c r="H41" i="2"/>
  <c r="G40" i="2"/>
  <c r="G42" i="2" s="1"/>
  <c r="I39" i="2"/>
  <c r="H39" i="2"/>
  <c r="I38" i="2"/>
  <c r="H38" i="2"/>
  <c r="J37" i="2"/>
  <c r="I37" i="2"/>
  <c r="H37" i="2"/>
  <c r="I36" i="2"/>
  <c r="H36" i="2"/>
  <c r="J35" i="2"/>
  <c r="I35" i="2"/>
  <c r="H35" i="2"/>
  <c r="J34" i="2"/>
  <c r="I34" i="2"/>
  <c r="H34" i="2"/>
  <c r="J33" i="2"/>
  <c r="I33" i="2"/>
  <c r="H33" i="2"/>
  <c r="D3" i="2"/>
  <c r="E3" i="2" s="1"/>
  <c r="F3" i="2" s="1"/>
  <c r="G3" i="2" s="1"/>
  <c r="H3" i="2" s="1"/>
  <c r="K34" i="1"/>
  <c r="J34" i="1"/>
  <c r="I34" i="1"/>
  <c r="K33" i="1"/>
  <c r="J33" i="1"/>
  <c r="I33" i="1"/>
  <c r="K32" i="1"/>
  <c r="J32" i="1"/>
  <c r="I32" i="1"/>
  <c r="K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8" i="1"/>
  <c r="K17" i="1"/>
  <c r="J17" i="1"/>
  <c r="I17" i="1"/>
  <c r="K16" i="1"/>
  <c r="J16" i="1"/>
  <c r="I16" i="1"/>
  <c r="J15" i="1"/>
  <c r="I15" i="1"/>
  <c r="K14" i="1"/>
  <c r="J14" i="1"/>
  <c r="I14" i="1"/>
  <c r="K13" i="1"/>
  <c r="J13" i="1"/>
  <c r="I13" i="1"/>
  <c r="K12" i="1"/>
  <c r="J12" i="1"/>
  <c r="I12" i="1"/>
  <c r="I11" i="1"/>
  <c r="K11" i="1"/>
  <c r="K10" i="1"/>
  <c r="J10" i="1"/>
  <c r="I10" i="1"/>
  <c r="K8" i="1"/>
  <c r="J8" i="1"/>
  <c r="I8" i="1"/>
  <c r="K7" i="1"/>
  <c r="J7" i="1"/>
  <c r="I7" i="1"/>
  <c r="K6" i="1"/>
  <c r="J6" i="1"/>
  <c r="I6" i="1"/>
  <c r="K5" i="1"/>
  <c r="J5" i="1"/>
  <c r="I5" i="1"/>
  <c r="K4" i="1"/>
  <c r="J4" i="1"/>
  <c r="I4" i="1"/>
  <c r="G3" i="1"/>
  <c r="I3" i="1" s="1"/>
  <c r="P54" i="2" l="1"/>
  <c r="G55" i="2"/>
  <c r="H6" i="3" s="1"/>
  <c r="I22" i="2"/>
  <c r="J12" i="2"/>
  <c r="J31" i="1"/>
  <c r="G26" i="2"/>
  <c r="C29" i="2"/>
  <c r="H12" i="2"/>
  <c r="G17" i="2"/>
  <c r="H22" i="2"/>
  <c r="D32" i="2"/>
  <c r="J11" i="1"/>
  <c r="I18" i="1"/>
  <c r="J18" i="1"/>
  <c r="K35" i="1"/>
  <c r="I31" i="1"/>
  <c r="G32" i="2"/>
  <c r="F32" i="2"/>
  <c r="H10" i="1"/>
  <c r="E32" i="2"/>
  <c r="H53" i="2"/>
  <c r="I53" i="2"/>
  <c r="J53" i="2"/>
  <c r="J42" i="2"/>
  <c r="I42" i="2"/>
  <c r="H42" i="2"/>
  <c r="H40" i="2"/>
  <c r="I40" i="2"/>
  <c r="J40" i="2"/>
  <c r="I35" i="1"/>
  <c r="J35" i="1"/>
  <c r="I26" i="1"/>
  <c r="J26" i="1"/>
  <c r="P55" i="2" l="1"/>
  <c r="H55" i="2"/>
  <c r="J55" i="2"/>
  <c r="I55" i="2"/>
  <c r="H17" i="1"/>
  <c r="J19" i="1"/>
  <c r="H22" i="1"/>
  <c r="F29" i="2"/>
  <c r="J26" i="2"/>
  <c r="I26" i="2"/>
  <c r="H26" i="2"/>
  <c r="E29" i="2"/>
  <c r="D29" i="2"/>
  <c r="G19" i="2"/>
  <c r="G29" i="2" s="1"/>
  <c r="J17" i="2"/>
  <c r="I17" i="2"/>
  <c r="H17" i="2"/>
  <c r="H32" i="2"/>
  <c r="H28" i="1"/>
  <c r="H32" i="1"/>
  <c r="H27" i="1"/>
  <c r="H30" i="1"/>
  <c r="H4" i="1"/>
  <c r="H26" i="1"/>
  <c r="H23" i="1"/>
  <c r="H14" i="1"/>
  <c r="H6" i="1"/>
  <c r="H15" i="1"/>
  <c r="I19" i="1"/>
  <c r="H21" i="1"/>
  <c r="H19" i="1"/>
  <c r="H34" i="1"/>
  <c r="H13" i="1"/>
  <c r="H29" i="1"/>
  <c r="K19" i="1"/>
  <c r="H5" i="1"/>
  <c r="H24" i="1"/>
  <c r="H31" i="1"/>
  <c r="H12" i="1"/>
  <c r="H33" i="1"/>
  <c r="H25" i="1"/>
  <c r="H7" i="1"/>
  <c r="H18" i="1"/>
  <c r="H8" i="1"/>
  <c r="H11" i="1"/>
  <c r="H35" i="1"/>
  <c r="H16" i="1"/>
  <c r="H20" i="1"/>
  <c r="K36" i="1"/>
  <c r="J36" i="1"/>
  <c r="I36" i="1"/>
  <c r="H36" i="1"/>
  <c r="I19" i="2" l="1"/>
  <c r="H19" i="2"/>
  <c r="K37" i="1"/>
  <c r="J37" i="1"/>
  <c r="I37" i="1"/>
  <c r="H37" i="1"/>
  <c r="E43" i="2" l="1"/>
  <c r="F43" i="2"/>
  <c r="G43" i="2"/>
  <c r="C43" i="2"/>
  <c r="A44" i="10" l="1"/>
  <c r="A45" i="10" s="1"/>
  <c r="A46" i="10" s="1"/>
  <c r="D3" i="5" l="1"/>
  <c r="E3" i="5" s="1"/>
  <c r="F3" i="5" s="1"/>
  <c r="G3" i="5" s="1"/>
  <c r="D43" i="2"/>
  <c r="H6" i="8" l="1"/>
  <c r="G6" i="8"/>
  <c r="F6" i="8"/>
  <c r="E6" i="8"/>
  <c r="H5" i="8"/>
  <c r="G5" i="8"/>
  <c r="F5" i="8"/>
  <c r="E5" i="8"/>
  <c r="D6" i="8"/>
  <c r="D5" i="8"/>
  <c r="K8" i="8"/>
  <c r="J8" i="8"/>
  <c r="I8" i="8"/>
  <c r="E3" i="3"/>
  <c r="F3" i="3" s="1"/>
  <c r="G3" i="3" s="1"/>
  <c r="H3" i="3" s="1"/>
  <c r="K5" i="8" l="1"/>
  <c r="I5" i="8"/>
  <c r="J5" i="8"/>
  <c r="E51" i="10" l="1"/>
  <c r="F51" i="10" s="1"/>
  <c r="G51" i="10" s="1"/>
  <c r="H51" i="10" s="1"/>
  <c r="L32" i="2"/>
  <c r="C46" i="2" l="1"/>
  <c r="L46" i="2" s="1"/>
  <c r="G46" i="2"/>
  <c r="P46" i="2" s="1"/>
  <c r="A66" i="10"/>
  <c r="M32" i="2" l="1"/>
  <c r="D46" i="2"/>
  <c r="M46" i="2" s="1"/>
  <c r="O32" i="2"/>
  <c r="F46" i="2"/>
  <c r="N32" i="2"/>
  <c r="E46" i="2"/>
  <c r="N46" i="2" s="1"/>
  <c r="P32" i="2"/>
  <c r="H46" i="2" l="1"/>
  <c r="O46" i="2"/>
  <c r="E38" i="1" l="1"/>
  <c r="F38" i="1"/>
  <c r="Q62" i="10"/>
  <c r="A13" i="10"/>
  <c r="D38" i="1" l="1"/>
  <c r="C38" i="1"/>
  <c r="G9" i="8"/>
  <c r="F9" i="8"/>
  <c r="E9" i="8"/>
  <c r="E10" i="8" s="1"/>
  <c r="D9" i="8"/>
  <c r="D10" i="8" s="1"/>
  <c r="F10" i="8" l="1"/>
  <c r="G10" i="8"/>
  <c r="H9" i="8"/>
  <c r="H10" i="8" s="1"/>
  <c r="J10" i="8" l="1"/>
  <c r="K10" i="8" l="1"/>
  <c r="I10" i="8"/>
  <c r="B9" i="10"/>
  <c r="B15" i="10" s="1"/>
  <c r="C3" i="10"/>
  <c r="D3" i="10" s="1"/>
  <c r="D5" i="5"/>
  <c r="E5" i="5"/>
  <c r="F5" i="5"/>
  <c r="G5" i="5"/>
  <c r="C5" i="5"/>
  <c r="G4" i="5"/>
  <c r="D4" i="5"/>
  <c r="E4" i="5"/>
  <c r="F4" i="5"/>
  <c r="C4" i="5"/>
  <c r="L41" i="2"/>
  <c r="N39" i="2"/>
  <c r="D11" i="8"/>
  <c r="E11" i="8"/>
  <c r="E12" i="8"/>
  <c r="E16" i="8" s="1"/>
  <c r="D18" i="3"/>
  <c r="E13" i="8"/>
  <c r="E12" i="3"/>
  <c r="D10" i="3"/>
  <c r="G18" i="3"/>
  <c r="H18" i="3"/>
  <c r="F18" i="3"/>
  <c r="G14" i="8"/>
  <c r="G10" i="3"/>
  <c r="F12" i="8"/>
  <c r="G11" i="8"/>
  <c r="F11" i="8"/>
  <c r="F16" i="8" l="1"/>
  <c r="P36" i="2"/>
  <c r="B24" i="10"/>
  <c r="B62" i="10"/>
  <c r="M42" i="2"/>
  <c r="G13" i="8"/>
  <c r="E11" i="3"/>
  <c r="D12" i="3"/>
  <c r="L39" i="2"/>
  <c r="G12" i="8"/>
  <c r="E18" i="3"/>
  <c r="F11" i="3"/>
  <c r="H11" i="8"/>
  <c r="H12" i="8"/>
  <c r="H13" i="8"/>
  <c r="H11" i="3"/>
  <c r="D13" i="8"/>
  <c r="G12" i="3"/>
  <c r="G11" i="3"/>
  <c r="D12" i="8"/>
  <c r="D16" i="8" s="1"/>
  <c r="D11" i="3"/>
  <c r="H12" i="3"/>
  <c r="M35" i="2"/>
  <c r="N38" i="2"/>
  <c r="F12" i="3"/>
  <c r="F13" i="8"/>
  <c r="F17" i="3"/>
  <c r="H10" i="3"/>
  <c r="F10" i="3"/>
  <c r="E10" i="3"/>
  <c r="L36" i="2"/>
  <c r="N40" i="2"/>
  <c r="M36" i="2"/>
  <c r="M41" i="2"/>
  <c r="N34" i="2"/>
  <c r="L37" i="2"/>
  <c r="L42" i="2"/>
  <c r="P42" i="2"/>
  <c r="O34" i="2"/>
  <c r="P37" i="2"/>
  <c r="O40" i="2"/>
  <c r="N41" i="2"/>
  <c r="M33" i="2"/>
  <c r="L34" i="2"/>
  <c r="P34" i="2"/>
  <c r="O35" i="2"/>
  <c r="N36" i="2"/>
  <c r="M37" i="2"/>
  <c r="L38" i="2"/>
  <c r="P38" i="2"/>
  <c r="M39" i="2"/>
  <c r="L40" i="2"/>
  <c r="P40" i="2"/>
  <c r="O41" i="2"/>
  <c r="N42" i="2"/>
  <c r="O37" i="2"/>
  <c r="O39" i="2"/>
  <c r="P33" i="2"/>
  <c r="N35" i="2"/>
  <c r="O38" i="2"/>
  <c r="P39" i="2"/>
  <c r="L33" i="2"/>
  <c r="N33" i="2"/>
  <c r="M34" i="2"/>
  <c r="L35" i="2"/>
  <c r="P35" i="2"/>
  <c r="O36" i="2"/>
  <c r="N37" i="2"/>
  <c r="M38" i="2"/>
  <c r="M40" i="2"/>
  <c r="P41" i="2"/>
  <c r="O42" i="2"/>
  <c r="O33" i="2"/>
  <c r="D9" i="10"/>
  <c r="D15" i="10" s="1"/>
  <c r="E3" i="10"/>
  <c r="C9" i="10"/>
  <c r="C15" i="10" s="1"/>
  <c r="C7" i="5"/>
  <c r="D14" i="3" s="1"/>
  <c r="G17" i="3"/>
  <c r="E17" i="3"/>
  <c r="D17" i="3"/>
  <c r="H16" i="8" l="1"/>
  <c r="G16" i="8"/>
  <c r="J13" i="8"/>
  <c r="G15" i="8"/>
  <c r="H17" i="3"/>
  <c r="D24" i="10"/>
  <c r="D62" i="10"/>
  <c r="C24" i="10"/>
  <c r="C62" i="10"/>
  <c r="D13" i="3"/>
  <c r="D14" i="8"/>
  <c r="D15" i="8" s="1"/>
  <c r="H14" i="8"/>
  <c r="G13" i="3"/>
  <c r="F14" i="8"/>
  <c r="E14" i="8"/>
  <c r="E15" i="8" s="1"/>
  <c r="E13" i="3"/>
  <c r="F3" i="10"/>
  <c r="F9" i="10" s="1"/>
  <c r="F15" i="10" s="1"/>
  <c r="E9" i="10"/>
  <c r="E15" i="10" s="1"/>
  <c r="H13" i="3"/>
  <c r="K16" i="8" l="1"/>
  <c r="F15" i="8"/>
  <c r="H15" i="8"/>
  <c r="J15" i="8" s="1"/>
  <c r="I16" i="8"/>
  <c r="J16" i="8"/>
  <c r="E24" i="10"/>
  <c r="E62" i="10"/>
  <c r="F24" i="10"/>
  <c r="F62" i="10"/>
  <c r="F13" i="3"/>
  <c r="G38" i="1"/>
  <c r="I15" i="8" l="1"/>
  <c r="K15" i="8"/>
  <c r="AD24" i="10"/>
  <c r="AD25" i="10"/>
  <c r="AD29" i="10"/>
  <c r="AD31" i="10"/>
  <c r="AD32" i="10"/>
  <c r="AD33" i="10"/>
  <c r="AD34" i="10"/>
  <c r="AD35" i="10"/>
  <c r="AD36" i="10"/>
  <c r="AD16" i="10"/>
  <c r="AD17" i="10"/>
  <c r="AD18" i="10"/>
  <c r="AD19" i="10"/>
  <c r="AD20" i="10"/>
  <c r="AD21" i="10"/>
  <c r="AD22" i="10"/>
  <c r="AD23" i="10"/>
  <c r="C14" i="10" l="1"/>
  <c r="D14" i="10"/>
  <c r="E14" i="10"/>
  <c r="F14" i="10"/>
  <c r="G14" i="10"/>
  <c r="H14" i="10"/>
  <c r="B14" i="10"/>
  <c r="L53" i="10" l="1"/>
  <c r="L54" i="10" s="1"/>
  <c r="L55" i="10" s="1"/>
  <c r="L56" i="10" s="1"/>
  <c r="L57" i="10" s="1"/>
  <c r="L58" i="10" s="1"/>
  <c r="B50" i="10"/>
  <c r="D50" i="10" l="1"/>
  <c r="C50" i="10"/>
  <c r="H4" i="8"/>
  <c r="G7" i="5"/>
  <c r="G10" i="5" s="1"/>
  <c r="H7" i="8" s="1"/>
  <c r="P51" i="2" l="1"/>
  <c r="P47" i="2"/>
  <c r="P52" i="2"/>
  <c r="P48" i="2"/>
  <c r="P50" i="2"/>
  <c r="P53" i="2"/>
  <c r="P49" i="2"/>
  <c r="E50" i="10"/>
  <c r="H5" i="3"/>
  <c r="H14" i="3"/>
  <c r="H4" i="3"/>
  <c r="A32" i="10"/>
  <c r="D32" i="10" s="1"/>
  <c r="A34" i="10"/>
  <c r="A35" i="10" s="1"/>
  <c r="A36" i="10" s="1"/>
  <c r="A37" i="10" s="1"/>
  <c r="H8" i="3" l="1"/>
  <c r="B37" i="10"/>
  <c r="B36" i="10"/>
  <c r="B35" i="10"/>
  <c r="B34" i="10"/>
  <c r="B33" i="10"/>
  <c r="F50" i="10"/>
  <c r="H7" i="3" l="1"/>
  <c r="H15" i="3"/>
  <c r="H16" i="3"/>
  <c r="H9" i="3"/>
  <c r="H19" i="3"/>
  <c r="G46" i="10"/>
  <c r="D46" i="10" s="1"/>
  <c r="G44" i="10"/>
  <c r="E44" i="10" s="1"/>
  <c r="G45" i="10"/>
  <c r="E45" i="10" s="1"/>
  <c r="G43" i="10"/>
  <c r="H50" i="10"/>
  <c r="G50" i="10"/>
  <c r="AD4" i="10"/>
  <c r="AD5" i="10"/>
  <c r="AD6" i="10"/>
  <c r="AD3" i="10"/>
  <c r="I54" i="10" l="1"/>
  <c r="I55" i="10"/>
  <c r="I56" i="10"/>
  <c r="I57" i="10"/>
  <c r="I52" i="10"/>
  <c r="I58" i="10"/>
  <c r="I53" i="10"/>
  <c r="E46" i="10"/>
  <c r="D45" i="10"/>
  <c r="D44" i="10"/>
  <c r="AA4" i="10"/>
  <c r="AA5" i="10" s="1"/>
  <c r="AA6" i="10" s="1"/>
  <c r="AA7" i="10" s="1"/>
  <c r="I9" i="10"/>
  <c r="C8" i="10"/>
  <c r="D8" i="10"/>
  <c r="E8" i="10"/>
  <c r="F8" i="10"/>
  <c r="B8" i="10"/>
  <c r="A8" i="10"/>
  <c r="A5" i="10"/>
  <c r="A4" i="10"/>
  <c r="B4" i="10" s="1"/>
  <c r="D7" i="10" l="1"/>
  <c r="J52" i="10"/>
  <c r="N52" i="10" s="1"/>
  <c r="Q52" i="10" s="1"/>
  <c r="J55" i="10"/>
  <c r="J53" i="10"/>
  <c r="J58" i="10"/>
  <c r="J56" i="10"/>
  <c r="J54" i="10"/>
  <c r="J57" i="10"/>
  <c r="C5" i="10"/>
  <c r="D5" i="10"/>
  <c r="E5" i="10"/>
  <c r="F5" i="10"/>
  <c r="B5" i="10"/>
  <c r="F4" i="10"/>
  <c r="D4" i="10"/>
  <c r="E4" i="10"/>
  <c r="C4" i="10"/>
  <c r="AA8" i="10"/>
  <c r="AD7" i="10"/>
  <c r="S3" i="10"/>
  <c r="S5" i="10"/>
  <c r="S9" i="10"/>
  <c r="S8" i="10"/>
  <c r="S6" i="10"/>
  <c r="S10" i="10"/>
  <c r="S7" i="10"/>
  <c r="S4" i="10"/>
  <c r="A1" i="10"/>
  <c r="K6" i="8"/>
  <c r="D4" i="8"/>
  <c r="S4" i="8" s="1"/>
  <c r="E4" i="8"/>
  <c r="F4" i="8"/>
  <c r="G4" i="8"/>
  <c r="N53" i="10" l="1"/>
  <c r="Q53" i="10" s="1"/>
  <c r="N56" i="10"/>
  <c r="Q56" i="10" s="1"/>
  <c r="N54" i="10"/>
  <c r="Q54" i="10" s="1"/>
  <c r="N58" i="10"/>
  <c r="Q58" i="10" s="1"/>
  <c r="N55" i="10"/>
  <c r="Q55" i="10" s="1"/>
  <c r="N57" i="10"/>
  <c r="Q57" i="10" s="1"/>
  <c r="I4" i="8"/>
  <c r="K4" i="8"/>
  <c r="J4" i="8"/>
  <c r="J6" i="8"/>
  <c r="I6" i="8"/>
  <c r="AA9" i="10"/>
  <c r="AD8" i="10"/>
  <c r="T4" i="10"/>
  <c r="U4" i="10" s="1"/>
  <c r="A11" i="10" s="1"/>
  <c r="A64" i="10" s="1"/>
  <c r="T8" i="10"/>
  <c r="U8" i="10" s="1"/>
  <c r="T10" i="10"/>
  <c r="U10" i="10" s="1"/>
  <c r="T7" i="10"/>
  <c r="U7" i="10" s="1"/>
  <c r="T5" i="10"/>
  <c r="U5" i="10" s="1"/>
  <c r="T9" i="10"/>
  <c r="U9" i="10" s="1"/>
  <c r="T6" i="10"/>
  <c r="U6" i="10" s="1"/>
  <c r="T3" i="10"/>
  <c r="Q59" i="10" l="1"/>
  <c r="Q60" i="10" s="1"/>
  <c r="C11" i="10"/>
  <c r="B11" i="10"/>
  <c r="D11" i="10"/>
  <c r="E11" i="10"/>
  <c r="F11" i="10"/>
  <c r="AA10" i="10"/>
  <c r="AD9" i="10"/>
  <c r="U3" i="10"/>
  <c r="A10" i="10" s="1"/>
  <c r="A63" i="10" s="1"/>
  <c r="F7" i="5"/>
  <c r="F10" i="5" s="1"/>
  <c r="I11" i="10" l="1"/>
  <c r="O49" i="2"/>
  <c r="O52" i="2"/>
  <c r="O48" i="2"/>
  <c r="O50" i="2"/>
  <c r="O51" i="2"/>
  <c r="O47" i="2"/>
  <c r="O53" i="2"/>
  <c r="R56" i="10"/>
  <c r="R54" i="10"/>
  <c r="R57" i="10"/>
  <c r="R58" i="10"/>
  <c r="R53" i="10"/>
  <c r="R52" i="10"/>
  <c r="R55" i="10"/>
  <c r="F10" i="10"/>
  <c r="D10" i="10"/>
  <c r="D12" i="10" s="1"/>
  <c r="D63" i="10" s="1"/>
  <c r="E10" i="10"/>
  <c r="B10" i="10"/>
  <c r="B12" i="10" s="1"/>
  <c r="B63" i="10" s="1"/>
  <c r="C10" i="10"/>
  <c r="C12" i="10" s="1"/>
  <c r="C63" i="10" s="1"/>
  <c r="G14" i="3"/>
  <c r="K13" i="8"/>
  <c r="AA11" i="10"/>
  <c r="AD10" i="10"/>
  <c r="A7" i="10"/>
  <c r="K9" i="8"/>
  <c r="K11" i="8"/>
  <c r="K12" i="8"/>
  <c r="G5" i="3"/>
  <c r="G7" i="8"/>
  <c r="G4" i="3"/>
  <c r="K7" i="8" l="1"/>
  <c r="J7" i="8"/>
  <c r="C64" i="10"/>
  <c r="B64" i="10"/>
  <c r="F12" i="10"/>
  <c r="F64" i="10" s="1"/>
  <c r="D64" i="10"/>
  <c r="E12" i="10"/>
  <c r="E64" i="10" s="1"/>
  <c r="G8" i="3"/>
  <c r="I7" i="8"/>
  <c r="J9" i="8"/>
  <c r="I9" i="8"/>
  <c r="J12" i="8"/>
  <c r="I12" i="8"/>
  <c r="I11" i="8"/>
  <c r="J11" i="8"/>
  <c r="I13" i="8"/>
  <c r="AA12" i="10"/>
  <c r="AD11" i="10"/>
  <c r="K14" i="8"/>
  <c r="D7" i="5"/>
  <c r="D10" i="5" s="1"/>
  <c r="E7" i="8" s="1"/>
  <c r="C10" i="5"/>
  <c r="D7" i="8" s="1"/>
  <c r="G7" i="3" l="1"/>
  <c r="G15" i="3"/>
  <c r="E63" i="10"/>
  <c r="F63" i="10"/>
  <c r="G19" i="3"/>
  <c r="G9" i="3"/>
  <c r="G16" i="3"/>
  <c r="I14" i="8"/>
  <c r="J14" i="8"/>
  <c r="AA13" i="10"/>
  <c r="AD13" i="10" s="1"/>
  <c r="AD12" i="10"/>
  <c r="E4" i="3"/>
  <c r="E5" i="3"/>
  <c r="E14" i="3"/>
  <c r="D4" i="3"/>
  <c r="D5" i="3"/>
  <c r="E7" i="5"/>
  <c r="E8" i="3" l="1"/>
  <c r="D8" i="3"/>
  <c r="AD26" i="10"/>
  <c r="AA14" i="10"/>
  <c r="F14" i="3"/>
  <c r="F4" i="3"/>
  <c r="E10" i="5"/>
  <c r="AA15" i="10" l="1"/>
  <c r="AD14" i="10"/>
  <c r="L51" i="2"/>
  <c r="L47" i="2"/>
  <c r="L53" i="2"/>
  <c r="L49" i="2"/>
  <c r="L50" i="2"/>
  <c r="L52" i="2"/>
  <c r="L48" i="2"/>
  <c r="E15" i="3"/>
  <c r="M50" i="2"/>
  <c r="M51" i="2"/>
  <c r="M53" i="2"/>
  <c r="M49" i="2"/>
  <c r="M52" i="2"/>
  <c r="M48" i="2"/>
  <c r="M47" i="2"/>
  <c r="F15" i="3"/>
  <c r="N53" i="2"/>
  <c r="N49" i="2"/>
  <c r="N47" i="2"/>
  <c r="N52" i="2"/>
  <c r="N48" i="2"/>
  <c r="N51" i="2"/>
  <c r="N50" i="2"/>
  <c r="AD27" i="10"/>
  <c r="F42" i="10"/>
  <c r="F7" i="8"/>
  <c r="F5" i="3"/>
  <c r="AA16" i="10" l="1"/>
  <c r="AA17" i="10" s="1"/>
  <c r="AA18" i="10" s="1"/>
  <c r="AA19" i="10" s="1"/>
  <c r="AA20" i="10" s="1"/>
  <c r="AA21" i="10" s="1"/>
  <c r="AA22" i="10" s="1"/>
  <c r="AA23" i="10" s="1"/>
  <c r="AA24" i="10" s="1"/>
  <c r="AA25" i="10" s="1"/>
  <c r="AA26" i="10" s="1"/>
  <c r="AA27" i="10" s="1"/>
  <c r="AA28" i="10" s="1"/>
  <c r="AA29" i="10" s="1"/>
  <c r="AA30" i="10" s="1"/>
  <c r="AA31" i="10" s="1"/>
  <c r="AA32" i="10" s="1"/>
  <c r="AA33" i="10" s="1"/>
  <c r="AA34" i="10" s="1"/>
  <c r="AA35" i="10" s="1"/>
  <c r="AA36" i="10" s="1"/>
  <c r="AD15" i="10"/>
  <c r="D16" i="3"/>
  <c r="D15" i="3"/>
  <c r="F19" i="3"/>
  <c r="F16" i="3"/>
  <c r="F9" i="3"/>
  <c r="E9" i="3"/>
  <c r="E16" i="3"/>
  <c r="E19" i="3"/>
  <c r="E7" i="3"/>
  <c r="D9" i="3"/>
  <c r="D19" i="3"/>
  <c r="D7" i="3"/>
  <c r="F7" i="3"/>
  <c r="F8" i="3"/>
  <c r="AD28" i="10"/>
  <c r="G42" i="10"/>
  <c r="AD30" i="10" l="1"/>
  <c r="D43" i="10"/>
  <c r="B43" i="10" s="1"/>
  <c r="E43" i="10"/>
  <c r="B44" i="10" l="1"/>
  <c r="B45" i="10" s="1"/>
  <c r="B46" i="10" s="1"/>
  <c r="C47" i="10" s="1"/>
  <c r="AE14" i="10"/>
  <c r="AE22" i="10"/>
  <c r="AE13" i="10"/>
  <c r="AE21" i="10"/>
  <c r="AE23" i="10"/>
  <c r="AE34" i="10"/>
  <c r="AE11" i="10"/>
  <c r="AE16" i="10"/>
  <c r="AE17" i="10"/>
  <c r="AE33" i="10"/>
  <c r="AE18" i="10"/>
  <c r="AE19" i="10"/>
  <c r="AE25" i="10"/>
  <c r="AE29" i="10"/>
  <c r="AE32" i="10"/>
  <c r="AE30" i="10"/>
  <c r="AE27" i="10"/>
  <c r="AE15" i="10"/>
  <c r="AE12" i="10"/>
  <c r="AE28" i="10"/>
  <c r="AE10" i="10"/>
  <c r="AE31" i="10"/>
  <c r="AE35" i="10"/>
  <c r="AE36" i="10"/>
  <c r="AE26" i="10"/>
  <c r="AE20" i="10"/>
  <c r="AE24" i="10"/>
  <c r="I10" i="10"/>
  <c r="AE3" i="10" l="1"/>
  <c r="AF3" i="10" s="1"/>
  <c r="A25" i="10" s="1"/>
  <c r="AF30" i="10"/>
  <c r="AF29" i="10"/>
  <c r="AF25" i="10"/>
  <c r="AF13" i="10"/>
  <c r="AF10" i="10"/>
  <c r="AF15" i="10"/>
  <c r="AF11" i="10"/>
  <c r="AE9" i="10"/>
  <c r="AF9" i="10" s="1"/>
  <c r="A31" i="10" s="1"/>
  <c r="AE7" i="10"/>
  <c r="AF7" i="10" s="1"/>
  <c r="A29" i="10" s="1"/>
  <c r="AF27" i="10"/>
  <c r="AE5" i="10"/>
  <c r="AF5" i="10" s="1"/>
  <c r="A27" i="10" s="1"/>
  <c r="AF24" i="10"/>
  <c r="AE4" i="10"/>
  <c r="AF4" i="10" s="1"/>
  <c r="A26" i="10" s="1"/>
  <c r="AF12" i="10"/>
  <c r="AE6" i="10"/>
  <c r="AF6" i="10" s="1"/>
  <c r="A28" i="10" s="1"/>
  <c r="AE8" i="10"/>
  <c r="AF8" i="10" s="1"/>
  <c r="A30" i="10" s="1"/>
  <c r="AF28" i="10"/>
  <c r="AF31" i="10"/>
  <c r="AF26" i="10"/>
  <c r="F30" i="10" l="1"/>
  <c r="D30" i="10"/>
  <c r="E30" i="10"/>
  <c r="C30" i="10"/>
  <c r="B30" i="10"/>
  <c r="D31" i="10"/>
  <c r="C31" i="10"/>
  <c r="E31" i="10"/>
  <c r="B31" i="10"/>
  <c r="F31" i="10"/>
  <c r="D26" i="10"/>
  <c r="F26" i="10"/>
  <c r="B26" i="10"/>
  <c r="E26" i="10"/>
  <c r="C26" i="10"/>
  <c r="D28" i="10"/>
  <c r="F28" i="10"/>
  <c r="E28" i="10"/>
  <c r="B28" i="10"/>
  <c r="C28" i="10"/>
  <c r="D27" i="10"/>
  <c r="C27" i="10"/>
  <c r="B27" i="10"/>
  <c r="E27" i="10"/>
  <c r="F27" i="10"/>
  <c r="D25" i="10"/>
  <c r="B25" i="10"/>
  <c r="E25" i="10"/>
  <c r="C25" i="10"/>
  <c r="F25" i="10"/>
  <c r="D29" i="10"/>
  <c r="C29" i="10"/>
  <c r="B29" i="10"/>
  <c r="F29" i="10"/>
  <c r="E29" i="10"/>
  <c r="A19" i="10"/>
  <c r="A18" i="10"/>
  <c r="A22" i="10"/>
  <c r="A17" i="10"/>
  <c r="A21" i="10"/>
  <c r="A20" i="10"/>
  <c r="A16" i="10"/>
  <c r="D16" i="10" l="1"/>
  <c r="B16" i="10"/>
  <c r="C16" i="10"/>
  <c r="E16" i="10"/>
  <c r="F16" i="10"/>
  <c r="D20" i="10"/>
  <c r="B20" i="10"/>
  <c r="E20" i="10"/>
  <c r="C20" i="10"/>
  <c r="F20" i="10"/>
  <c r="D21" i="10"/>
  <c r="B21" i="10"/>
  <c r="E21" i="10"/>
  <c r="F21" i="10"/>
  <c r="C21" i="10"/>
  <c r="C22" i="10"/>
  <c r="F22" i="10"/>
  <c r="B22" i="10"/>
  <c r="D22" i="10"/>
  <c r="E22" i="10"/>
  <c r="E19" i="10"/>
  <c r="C19" i="10"/>
  <c r="F19" i="10"/>
  <c r="B19" i="10"/>
  <c r="D19" i="10"/>
  <c r="D17" i="10"/>
  <c r="E17" i="10"/>
  <c r="F17" i="10"/>
  <c r="B17" i="10"/>
  <c r="C17" i="10"/>
  <c r="E18" i="10"/>
  <c r="C18" i="10"/>
  <c r="F18" i="10"/>
  <c r="B18" i="10"/>
  <c r="D18" i="10"/>
  <c r="I18" i="10" l="1"/>
  <c r="I20" i="10"/>
  <c r="I21" i="10"/>
  <c r="I16" i="10"/>
  <c r="I17" i="10"/>
  <c r="I22" i="10"/>
  <c r="I19" i="10"/>
  <c r="I28" i="10" l="1"/>
  <c r="J28" i="10" s="1"/>
  <c r="I30" i="10"/>
  <c r="J30" i="10" s="1"/>
  <c r="J16" i="10"/>
  <c r="J22" i="10"/>
  <c r="J17" i="10"/>
  <c r="J21" i="10"/>
  <c r="J20" i="10"/>
  <c r="J19" i="10"/>
  <c r="J18" i="10"/>
  <c r="I31" i="10"/>
  <c r="J31" i="10" s="1"/>
  <c r="I27" i="10"/>
  <c r="J27" i="10" s="1"/>
  <c r="I29" i="10"/>
  <c r="J29" i="10" s="1"/>
  <c r="I25" i="10"/>
  <c r="J25" i="10" s="1"/>
  <c r="I26" i="10"/>
  <c r="J26" i="10" s="1"/>
  <c r="N17" i="10" l="1"/>
  <c r="Q17" i="10" s="1"/>
  <c r="N19" i="10"/>
  <c r="Q19" i="10" s="1"/>
  <c r="N16" i="10"/>
  <c r="Q16" i="10" s="1"/>
  <c r="N18" i="10"/>
  <c r="Q18" i="10" s="1"/>
  <c r="N22" i="10"/>
  <c r="Q22" i="10" s="1"/>
  <c r="N21" i="10"/>
  <c r="Q21" i="10" s="1"/>
  <c r="N20" i="10"/>
  <c r="Q20" i="10" s="1"/>
  <c r="Q23" i="10" l="1"/>
  <c r="N23" i="10" s="1"/>
  <c r="R16" i="10" l="1"/>
  <c r="R21" i="10"/>
  <c r="R19" i="10"/>
  <c r="R22" i="10"/>
  <c r="R20" i="10"/>
  <c r="R17" i="10"/>
  <c r="R18" i="10"/>
  <c r="I3" i="8" l="1"/>
</calcChain>
</file>

<file path=xl/sharedStrings.xml><?xml version="1.0" encoding="utf-8"?>
<sst xmlns="http://schemas.openxmlformats.org/spreadsheetml/2006/main" count="362" uniqueCount="237">
  <si>
    <t>Indicator</t>
  </si>
  <si>
    <t>Imobilizari corporale</t>
  </si>
  <si>
    <t>Investitii imobiliare</t>
  </si>
  <si>
    <t>Capital social</t>
  </si>
  <si>
    <t>Rezerve</t>
  </si>
  <si>
    <t>Rezultat reportat</t>
  </si>
  <si>
    <t>Profit (pierdere) inaintea impozitarii</t>
  </si>
  <si>
    <t>Impozit pe profit</t>
  </si>
  <si>
    <t>Total</t>
  </si>
  <si>
    <t>Alte venituri</t>
  </si>
  <si>
    <t>© ROMCARBON SA</t>
  </si>
  <si>
    <t>EBITDA</t>
  </si>
  <si>
    <t>Formula</t>
  </si>
  <si>
    <t>EBITDA in total vanzari</t>
  </si>
  <si>
    <t>EBITDA in capitaluri proprii</t>
  </si>
  <si>
    <t>Rata profitului brut</t>
  </si>
  <si>
    <t>Cifra de afaceri</t>
  </si>
  <si>
    <t>Indicatorul lichiditatii curente</t>
  </si>
  <si>
    <t>Indicatorul lichiditatii imediate(testul acid)</t>
  </si>
  <si>
    <t>Indicatorul gradului de indatorare(1)</t>
  </si>
  <si>
    <t>Indicatorul gradului de indatorare(2)</t>
  </si>
  <si>
    <t>Rata de acoperire a dobanzii</t>
  </si>
  <si>
    <t>Viteza de rotatie a creantelor comerciale</t>
  </si>
  <si>
    <t>Viteza de rotatie a datoriilor comerciale</t>
  </si>
  <si>
    <t>Rata rentabilitatii economice(ROA)</t>
  </si>
  <si>
    <t>Rata rentabilitatii financiare(ROE)</t>
  </si>
  <si>
    <t>Rata rentabilitatii comerciale(ROS)</t>
  </si>
  <si>
    <t>EBITDA/Cifra de afaceri</t>
  </si>
  <si>
    <t>EBITDA/Capitaluri</t>
  </si>
  <si>
    <t>Profit brut/Cifra de afaceri</t>
  </si>
  <si>
    <t>Active curente/Datorii curente</t>
  </si>
  <si>
    <t>Datorii pe termen lung/Capitaluri</t>
  </si>
  <si>
    <t>EBIT/Cheltuieli cu dobanzile</t>
  </si>
  <si>
    <t>EBIT</t>
  </si>
  <si>
    <t xml:space="preserve">Profit net </t>
  </si>
  <si>
    <t>Cheltuieli cu impozitul pe profit (+)</t>
  </si>
  <si>
    <t>Cheltuieli cu dobanzile (+)</t>
  </si>
  <si>
    <t>Cheltuieli cu amortizarea (+)</t>
  </si>
  <si>
    <t>Venituri din subventii pentru investitii (-)</t>
  </si>
  <si>
    <t>Vezi pagina EBIT-EBITDA</t>
  </si>
  <si>
    <t>Item</t>
  </si>
  <si>
    <t>Fax: +40(0)238 710 697</t>
  </si>
  <si>
    <t>investor.relations@romcarbon.com</t>
  </si>
  <si>
    <t>List1</t>
  </si>
  <si>
    <t>List2</t>
  </si>
  <si>
    <t>List3</t>
  </si>
  <si>
    <t>Start</t>
  </si>
  <si>
    <t>Base</t>
  </si>
  <si>
    <t>End</t>
  </si>
  <si>
    <t>Down</t>
  </si>
  <si>
    <t>Up</t>
  </si>
  <si>
    <t>Net</t>
  </si>
  <si>
    <t>An</t>
  </si>
  <si>
    <t>Date</t>
  </si>
  <si>
    <t>Rank</t>
  </si>
  <si>
    <t>Pozitie</t>
  </si>
  <si>
    <t>Center</t>
  </si>
  <si>
    <t>Value</t>
  </si>
  <si>
    <t>%</t>
  </si>
  <si>
    <t>www.romcarbon.com</t>
  </si>
  <si>
    <t>Fond comercial</t>
  </si>
  <si>
    <t>Active pe termen lung</t>
  </si>
  <si>
    <t>Alte active curente</t>
  </si>
  <si>
    <t>Active curente</t>
  </si>
  <si>
    <t>Prime de emisiune</t>
  </si>
  <si>
    <t>Capital propriu atribuibil detinătorilor de capital propriu ai societatii mamă</t>
  </si>
  <si>
    <t>Interese minoritare</t>
  </si>
  <si>
    <t>Capitaluri</t>
  </si>
  <si>
    <t>Alte datorii privind provizioane pe termen lung</t>
  </si>
  <si>
    <t>Datorii pe termen lung</t>
  </si>
  <si>
    <t>Datorii curente</t>
  </si>
  <si>
    <t>Datorii</t>
  </si>
  <si>
    <t>Capitaluri si datorii</t>
  </si>
  <si>
    <t>n/a</t>
  </si>
  <si>
    <t>Venituri</t>
  </si>
  <si>
    <t>Profitul/pierderea anului, atribuibil:</t>
  </si>
  <si>
    <t>Detinatorilor de capital propriu ai societatii mama</t>
  </si>
  <si>
    <t>Interese care nu controleaza</t>
  </si>
  <si>
    <t>Profitul/Pierderea anului</t>
  </si>
  <si>
    <t>Diferente de conversie aferente operatiunilor externe</t>
  </si>
  <si>
    <t>Impozitul amanat aferent rezultatului global</t>
  </si>
  <si>
    <t>Rezultat global, atribuibil:</t>
  </si>
  <si>
    <t>Romcarbon SA</t>
  </si>
  <si>
    <t>LivingJumbo Industry SA</t>
  </si>
  <si>
    <t>RC Energo Install SRL</t>
  </si>
  <si>
    <t>Eco Pack Management SA</t>
  </si>
  <si>
    <t>Info Tech Solutions SRL</t>
  </si>
  <si>
    <t>Next Eco Reciclyng SA</t>
  </si>
  <si>
    <t>Project Advice SRL</t>
  </si>
  <si>
    <t>Detalii indicator "Venituri" pe tipuri</t>
  </si>
  <si>
    <t>Venituri din vanzari de produse finite (701+709)</t>
  </si>
  <si>
    <t>Venituri din vanzari de semifabricate</t>
  </si>
  <si>
    <t>Venituri din vanzarea produselor reziduale</t>
  </si>
  <si>
    <t>Vanzari din prestari servicii</t>
  </si>
  <si>
    <t>Venituri din vanzarea marfurilor</t>
  </si>
  <si>
    <t>Venituri din alte activitati</t>
  </si>
  <si>
    <t>Total, din care:</t>
  </si>
  <si>
    <t xml:space="preserve"> - in interiorul Grupului</t>
  </si>
  <si>
    <t xml:space="preserve"> - in afara Grupului</t>
  </si>
  <si>
    <t>Detalii indicator "Venituri" pe societati</t>
  </si>
  <si>
    <t>Venituri din chirii</t>
  </si>
  <si>
    <t>Total venituri</t>
  </si>
  <si>
    <t>SITUATII FINANCIARE CONSOLIDATE (IFRS - EU)</t>
  </si>
  <si>
    <t>Sursa datelor o reprezinta situatiile financiare ale companiei.</t>
  </si>
  <si>
    <t>Str.Transilvaniei, nr.132, Buzau</t>
  </si>
  <si>
    <t>Cod postal: 120012</t>
  </si>
  <si>
    <t>Tel: +40(0)238 711 155</t>
  </si>
  <si>
    <t>Selecteaza primul element de comparatie--&gt;&gt;&gt;</t>
  </si>
  <si>
    <t>Selecteaza al doilea element de comparatie--&gt;&gt;&gt;</t>
  </si>
  <si>
    <t>Selecteaza indicatorul---&gt;&gt;&gt;</t>
  </si>
  <si>
    <t>Selecteaza anul-&gt;&gt;&gt;</t>
  </si>
  <si>
    <t>Selecteaza anul---------------&gt;&gt;&gt;</t>
  </si>
  <si>
    <t>Datorii totale</t>
  </si>
  <si>
    <t>Profit net</t>
  </si>
  <si>
    <t>Pondere in venituri</t>
  </si>
  <si>
    <t>Societate</t>
  </si>
  <si>
    <t>Active</t>
  </si>
  <si>
    <t>Total Activ</t>
  </si>
  <si>
    <t>Venituri + Venituri din chirii</t>
  </si>
  <si>
    <t>(Active curente - stocuri)/Datorii curente</t>
  </si>
  <si>
    <t>Datorii totale/Activ total</t>
  </si>
  <si>
    <t>Sold mediu creante/Cifra de afaceri</t>
  </si>
  <si>
    <t>Sold mediu datorii/Cifra de afaceri</t>
  </si>
  <si>
    <t>Profit net/Activ</t>
  </si>
  <si>
    <t>Profit net/Capitaluri</t>
  </si>
  <si>
    <t>Profit net/Cifra de afaceri</t>
  </si>
  <si>
    <t>Nota: In EBIT si EBITDA sunt incluse si elemente nerecurente cum ar fi dividendele, vanzari de active, altele.</t>
  </si>
  <si>
    <t>Nota : Veniturile din chirii sunt incluse  in "Venituri din investitii"</t>
  </si>
  <si>
    <r>
      <rPr>
        <b/>
        <u/>
        <sz val="11"/>
        <rFont val="Candara"/>
        <family val="2"/>
      </rPr>
      <t>Nota:</t>
    </r>
    <r>
      <rPr>
        <b/>
        <sz val="11"/>
        <rFont val="Candara"/>
        <family val="2"/>
      </rPr>
      <t xml:space="preserve"> </t>
    </r>
    <r>
      <rPr>
        <i/>
        <sz val="11"/>
        <rFont val="Candara"/>
        <family val="2"/>
      </rPr>
      <t>Acest fisier a fost pregatit in scop informativ.</t>
    </r>
    <r>
      <rPr>
        <b/>
        <sz val="11"/>
        <rFont val="Candara"/>
        <family val="2"/>
      </rPr>
      <t xml:space="preserve">
</t>
    </r>
  </si>
  <si>
    <t>Capitaluri&amp;Datorii</t>
  </si>
  <si>
    <t xml:space="preserve">Variatia stocurilor </t>
  </si>
  <si>
    <t xml:space="preserve">Cheltuieli cu materiile prime si consumabile </t>
  </si>
  <si>
    <t xml:space="preserve">Cheltuieli cu salariile si beneficiile angajatilor </t>
  </si>
  <si>
    <t xml:space="preserve">Cheltuieli cu deprecierea si amortizarea activelor </t>
  </si>
  <si>
    <t>Profit (pierdere) din activitati de exploatare</t>
  </si>
  <si>
    <t>Venituri financiare</t>
  </si>
  <si>
    <t>Cheltuieli financiare</t>
  </si>
  <si>
    <t xml:space="preserve">Ponderea de profit(pierdere) a asociatilor </t>
  </si>
  <si>
    <t>Selecteaza anul &gt;&gt;&gt;</t>
  </si>
  <si>
    <t>Imobilizari necorporale, altele decat fondul comercial</t>
  </si>
  <si>
    <t>Titluri puse in echivalenta</t>
  </si>
  <si>
    <t>Alte active financiare pe termen lung</t>
  </si>
  <si>
    <t>Stocuri curente</t>
  </si>
  <si>
    <t>Creante comerciale si alte creante</t>
  </si>
  <si>
    <t xml:space="preserve">Alte active curente financiare </t>
  </si>
  <si>
    <t>Numerar şi conturi bancare</t>
  </si>
  <si>
    <t>Active imobilizante detinute in vederea vanzarii</t>
  </si>
  <si>
    <t xml:space="preserve">Datorii privind impozitul amanat </t>
  </si>
  <si>
    <t>Alte datorii financiare pe termen lung</t>
  </si>
  <si>
    <t>Alte datorii  nefinanciare pe termen lung</t>
  </si>
  <si>
    <t xml:space="preserve">Datorii comerciale </t>
  </si>
  <si>
    <t>Alte datorii financiare curente</t>
  </si>
  <si>
    <t>Alte datorii nefinanciare curente</t>
  </si>
  <si>
    <t>Alte datorii financiare</t>
  </si>
  <si>
    <t>Actiuni detinute la entitatile afiliate</t>
  </si>
  <si>
    <t>EBITDA Operational</t>
  </si>
  <si>
    <t>Rata indatorarii</t>
  </si>
  <si>
    <t>Lichiditatea curenta</t>
  </si>
  <si>
    <r>
      <rPr>
        <b/>
        <sz val="11"/>
        <color theme="1"/>
        <rFont val="Candara"/>
        <family val="2"/>
      </rPr>
      <t>EBITDA operational</t>
    </r>
    <r>
      <rPr>
        <sz val="11"/>
        <color theme="1"/>
        <rFont val="Candara"/>
        <family val="2"/>
      </rPr>
      <t xml:space="preserve"> ia in calcul doar activitatea de exploatare, excluzand cheltuiala cu amortizarea, vanzarile de active, elementele nerecurente si activitatea financiara.</t>
    </r>
  </si>
  <si>
    <r>
      <t xml:space="preserve">Nota: </t>
    </r>
    <r>
      <rPr>
        <b/>
        <sz val="11"/>
        <color theme="1"/>
        <rFont val="Candara"/>
        <family val="2"/>
      </rPr>
      <t>EBITDA</t>
    </r>
    <r>
      <rPr>
        <sz val="11"/>
        <color theme="1"/>
        <rFont val="Candara"/>
        <family val="2"/>
      </rPr>
      <t xml:space="preserve"> e calculat pornind de la rezultatul net si include si elemente nerecurente cum ar fi dividendele, vanzari de active, altele.</t>
    </r>
  </si>
  <si>
    <t>lei</t>
  </si>
  <si>
    <t>Castiguri/Pierderi nete din reevaluarea imobilizarilor corporale</t>
  </si>
  <si>
    <t xml:space="preserve"> lei</t>
  </si>
  <si>
    <t>In acest fisier toate sumele sunt exprimate in lei.</t>
  </si>
  <si>
    <t>Cheltuieli operationale</t>
  </si>
  <si>
    <t xml:space="preserve">Alte castiguri sau pierderi </t>
  </si>
  <si>
    <t>Venituri din asociati</t>
  </si>
  <si>
    <t>Numerar net generat / (utilizat) în activitati de investitii</t>
  </si>
  <si>
    <t>Numerar net generat / (utilizat) în activitatea financiară</t>
  </si>
  <si>
    <t>Cresterea / (Descresterea) netă a numerarului şi a echivalentelor de numerar înainte de efectul diferențelor de conversie</t>
  </si>
  <si>
    <t>Efectul diferențelor de conversie asupra numerarului şi a echivalentelor de numerar</t>
  </si>
  <si>
    <t>Cresterea / (Descresterea) netă a numerarului şi a echivalentelor de numerar</t>
  </si>
  <si>
    <t>Numerar şi echivalente de numerar la începutul anului financiar</t>
  </si>
  <si>
    <t>Numerar şi echivalente de numerar la sfârşitul anului financiar</t>
  </si>
  <si>
    <t>Lei</t>
  </si>
  <si>
    <t>Castig net din vanzarea investitiilor financiare</t>
  </si>
  <si>
    <t>Numerar net generat din/utilizat in activităţi operaţionale</t>
  </si>
  <si>
    <t>In total  [2023]</t>
  </si>
  <si>
    <t>Total cifra de afaceri</t>
  </si>
  <si>
    <t>Profit net fara impactul ponderii de profit(pierdere) a asociatilor[Green-Group]*</t>
  </si>
  <si>
    <t>*In luna Decembrie 2022 Grupul a vandut detinerea financiara in Green-Group</t>
  </si>
  <si>
    <t>Fluxurile de trezorerie provenite din (folosite în) activitățile de exploatare</t>
  </si>
  <si>
    <t>Profit (pierdere)</t>
  </si>
  <si>
    <t>Ajustări pentru reconcilierea profitului (pierderii)</t>
  </si>
  <si>
    <t>Ajustări pentru cheltuielile cu impozitul pe profit</t>
  </si>
  <si>
    <t>Cheltuieli financiare recunoscute in profit</t>
  </si>
  <si>
    <t>(Câştig) / Pierdere din vânzarea sau cedarea de mijloace fixe</t>
  </si>
  <si>
    <t>(Câştig) / Pierdere din vânzarea sau cedarea de investitii imobiliare</t>
  </si>
  <si>
    <t>(Câştig) / Pierdere din vânzarea sau cedarea de active detinute in vederea vanzarii</t>
  </si>
  <si>
    <t>(Câştig) / Pierdere din vânzarea sau cedarea de investitii financiare</t>
  </si>
  <si>
    <t>Venituri din productia de imobilizari</t>
  </si>
  <si>
    <t>Venituri din dividende</t>
  </si>
  <si>
    <t>Venituri din dobanzi</t>
  </si>
  <si>
    <t>Pierderi din deprecierea stocurilor</t>
  </si>
  <si>
    <t>Pierderi din deprecierea creanţelor comerciale</t>
  </si>
  <si>
    <t>Pierderi din creante prescrise</t>
  </si>
  <si>
    <t>Pierderi din deprecierea fondului comercial</t>
  </si>
  <si>
    <t>Pierderi din deprecierea imobilizarilor corporale</t>
  </si>
  <si>
    <t>Amortizarea activelor pe termen lung</t>
  </si>
  <si>
    <t>(Castig) / Pierdere net din schimb valutar</t>
  </si>
  <si>
    <t>(Castiguri) / Pierderi din investitii</t>
  </si>
  <si>
    <t>(Castiguri) / Pierderi din reevaluarea imobilizarilor corporale</t>
  </si>
  <si>
    <t>(Castiguri) / Pierderi din reevaluarea investitiilor imobiliare</t>
  </si>
  <si>
    <t>(Castiguri) / Pierderi din reevaluarea activelor detinute in vederea vanzarii</t>
  </si>
  <si>
    <t>(Castig) / Pierdere din investitii pe termen scurt</t>
  </si>
  <si>
    <t>(Castiguri) / Pierderi din ponderea de profit a asociatilor</t>
  </si>
  <si>
    <t>(Crestere) / Descrestere provizioane</t>
  </si>
  <si>
    <t>Cresteri / (Descresteri) privind subventiile</t>
  </si>
  <si>
    <t>Mişcări în capitalul circulant:</t>
  </si>
  <si>
    <t>(Creştere) / Descreştere creanţe comerciale şi alte creanţe</t>
  </si>
  <si>
    <t>(Creştere) / Descrestere stocuri</t>
  </si>
  <si>
    <t>(Creştere) / Descreştere alte active</t>
  </si>
  <si>
    <t>Creştere / (Descrestere) datorii comerciale şi alte datorii</t>
  </si>
  <si>
    <t>Creştere / (Descreştere) alte datorii</t>
  </si>
  <si>
    <t>Total ajustări pentru reconcilierea profitului (pierderii)</t>
  </si>
  <si>
    <t>Dobânzi plătite</t>
  </si>
  <si>
    <t>Impozit pe profit plătit</t>
  </si>
  <si>
    <t>Comisioane bancare plătite</t>
  </si>
  <si>
    <t>Fluxurile de trezorerie provenite din (folosite în) activitățile de investiție</t>
  </si>
  <si>
    <t>Plăţi aferente imobilizărilor corporale</t>
  </si>
  <si>
    <t>Plati aferente activelor detinute spre vanzare</t>
  </si>
  <si>
    <t>Plăţi aferente imobilizărilor necorporale</t>
  </si>
  <si>
    <t>Încasări din vânzarea de imobilizări corporale</t>
  </si>
  <si>
    <t>Încasări din subventii</t>
  </si>
  <si>
    <t>Încasări din investitii in asociati</t>
  </si>
  <si>
    <t>Incasari din vanzarea investitiilor financiare</t>
  </si>
  <si>
    <t>Achizitie de subsidiare</t>
  </si>
  <si>
    <t>Plati aferente investiitilor imobiliare</t>
  </si>
  <si>
    <t>Încasări din vânzarea de investitii imobiliare</t>
  </si>
  <si>
    <t>Încasări din vânzarea de active detinute in vederea vanzarii</t>
  </si>
  <si>
    <t>Dobânzi primite</t>
  </si>
  <si>
    <t>Dividende primite</t>
  </si>
  <si>
    <t>Fluxuri de trezorerie provenite din (folosite în) activitati de finantare</t>
  </si>
  <si>
    <t>Incasari din/rambursari de împrumuturi</t>
  </si>
  <si>
    <t>Plăţi de leasing</t>
  </si>
  <si>
    <t>Dividende platite</t>
  </si>
  <si>
    <t>Plati aferente investiitilor financiare pe termen scurt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</si>
</sst>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_);_(* \(#,##0\);_(* &quot;-&quot;_);_(@_)"/>
    <numFmt numFmtId="165" formatCode="_-* #,##0\ _l_e_i_-;\-* #,##0\ _l_e_i_-;_-* &quot;-&quot;??\ _l_e_i_-;_-@_-"/>
    <numFmt numFmtId="166" formatCode="_(* #,##0.00_);_(* \(#,##0.00\);_(* &quot;-&quot;_);_(@_)"/>
    <numFmt numFmtId="167" formatCode="_-* #,##0_-;\-* #,##0_-;_-* &quot;-&quot;??_-;_-@_-"/>
    <numFmt numFmtId="168" formatCode="_-* #,##0.00\ _l_e_i_-;\-* #,##0.00\ _l_e_i_-;_-* &quot;-&quot;??\ _l_e_i_-;_-@_-"/>
    <numFmt numFmtId="169" formatCode="_(* #,##0_);_(* \(#,##0\);_(* &quot;-&quot;??_);_(@_)"/>
    <numFmt numFmtId="170" formatCode="_(* #,##0.000_);_(* \(#,##0.000\);_(* &quot;-&quot;_);_(@_)"/>
    <numFmt numFmtId="171" formatCode="_(* #,##0.0000_);_(* \(#,##0.0000\);_(* &quot;-&quot;_);_(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ndara"/>
      <family val="2"/>
    </font>
    <font>
      <b/>
      <sz val="10.5"/>
      <name val="Candara"/>
      <family val="2"/>
    </font>
    <font>
      <sz val="10.5"/>
      <name val="Candara"/>
      <family val="2"/>
    </font>
    <font>
      <sz val="11"/>
      <name val="Candara"/>
      <family val="2"/>
    </font>
    <font>
      <b/>
      <sz val="11"/>
      <name val="Candara"/>
      <family val="2"/>
    </font>
    <font>
      <i/>
      <sz val="11"/>
      <name val="Candara"/>
      <family val="2"/>
    </font>
    <font>
      <sz val="11"/>
      <color theme="3" tint="-0.499984740745262"/>
      <name val="Candara"/>
      <family val="2"/>
    </font>
    <font>
      <b/>
      <sz val="11"/>
      <color theme="3" tint="-0.499984740745262"/>
      <name val="Candara"/>
      <family val="2"/>
    </font>
    <font>
      <b/>
      <i/>
      <sz val="11"/>
      <name val="Candara"/>
      <family val="2"/>
    </font>
    <font>
      <i/>
      <sz val="11"/>
      <color theme="1"/>
      <name val="Candara"/>
      <family val="2"/>
    </font>
    <font>
      <i/>
      <sz val="11"/>
      <color theme="0"/>
      <name val="Candara"/>
      <family val="2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indexed="8"/>
      <name val="Trebuchet MS"/>
      <family val="2"/>
    </font>
    <font>
      <b/>
      <sz val="18"/>
      <color theme="1"/>
      <name val="Candara"/>
      <family val="2"/>
    </font>
    <font>
      <b/>
      <sz val="11"/>
      <color theme="1"/>
      <name val="Candara"/>
      <family val="2"/>
    </font>
    <font>
      <sz val="11"/>
      <color theme="1"/>
      <name val="Calibri"/>
      <family val="2"/>
    </font>
    <font>
      <b/>
      <sz val="13.5"/>
      <color theme="1"/>
      <name val="Garamond"/>
      <family val="1"/>
    </font>
    <font>
      <sz val="14"/>
      <color theme="3" tint="-0.499984740745262"/>
      <name val="Candara"/>
      <family val="2"/>
    </font>
    <font>
      <u/>
      <sz val="14"/>
      <color theme="3" tint="-0.499984740745262"/>
      <name val="Candara"/>
      <family val="2"/>
    </font>
    <font>
      <b/>
      <u/>
      <sz val="11"/>
      <name val="Candara"/>
      <family val="2"/>
    </font>
    <font>
      <sz val="11"/>
      <name val="Calibri"/>
      <family val="2"/>
      <scheme val="minor"/>
    </font>
    <font>
      <i/>
      <sz val="10.5"/>
      <name val="Candara"/>
      <family val="2"/>
    </font>
    <font>
      <sz val="11"/>
      <color theme="3" tint="-0.249977111117893"/>
      <name val="Candara"/>
      <family val="2"/>
    </font>
    <font>
      <b/>
      <sz val="11"/>
      <color theme="3" tint="-0.249977111117893"/>
      <name val="Candara"/>
      <family val="2"/>
    </font>
    <font>
      <sz val="11"/>
      <color theme="3" tint="-0.249977111117893"/>
      <name val="Calibri"/>
      <family val="2"/>
      <scheme val="minor"/>
    </font>
    <font>
      <sz val="11"/>
      <color rgb="FFC00000"/>
      <name val="Candara"/>
      <family val="2"/>
    </font>
    <font>
      <b/>
      <sz val="16"/>
      <color theme="1"/>
      <name val="Candara"/>
      <family val="2"/>
    </font>
    <font>
      <b/>
      <sz val="12"/>
      <color theme="1"/>
      <name val="Candara"/>
      <family val="2"/>
    </font>
    <font>
      <i/>
      <u/>
      <sz val="11"/>
      <color theme="3" tint="-0.249977111117893"/>
      <name val="Candara"/>
      <family val="2"/>
    </font>
    <font>
      <sz val="10.5"/>
      <color theme="1"/>
      <name val="Candara"/>
      <family val="2"/>
    </font>
    <font>
      <i/>
      <sz val="10.5"/>
      <color theme="1"/>
      <name val="Candara"/>
      <family val="2"/>
    </font>
    <font>
      <i/>
      <sz val="11"/>
      <color theme="9" tint="-0.499984740745262"/>
      <name val="Candara"/>
      <family val="2"/>
    </font>
    <font>
      <sz val="11"/>
      <color rgb="FF000000"/>
      <name val="Candara"/>
      <family val="2"/>
    </font>
    <font>
      <i/>
      <sz val="10.5"/>
      <color theme="3" tint="-0.249977111117893"/>
      <name val="Candara"/>
      <family val="2"/>
    </font>
    <font>
      <i/>
      <sz val="11"/>
      <color theme="9" tint="-0.249977111117893"/>
      <name val="Candara"/>
      <family val="2"/>
    </font>
    <font>
      <sz val="11.5"/>
      <color theme="1"/>
      <name val="Candara"/>
      <family val="2"/>
    </font>
    <font>
      <sz val="11"/>
      <color indexed="8"/>
      <name val="Candara"/>
      <family val="2"/>
    </font>
    <font>
      <sz val="12"/>
      <color theme="1"/>
      <name val="Candara"/>
      <family val="2"/>
    </font>
    <font>
      <b/>
      <sz val="11"/>
      <color rgb="FF000000"/>
      <name val="Candara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1DFD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3E1E1"/>
        <bgColor indexed="64"/>
      </patternFill>
    </fill>
    <fill>
      <patternFill patternType="solid">
        <fgColor rgb="FFEAED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19EBC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ed">
        <color theme="2" tint="-0.749961851863155"/>
      </left>
      <right/>
      <top style="mediumDashed">
        <color theme="2" tint="-0.749961851863155"/>
      </top>
      <bottom style="mediumDashed">
        <color theme="2" tint="-0.749961851863155"/>
      </bottom>
      <diagonal/>
    </border>
    <border>
      <left/>
      <right/>
      <top style="mediumDashed">
        <color theme="2" tint="-0.749961851863155"/>
      </top>
      <bottom style="mediumDashed">
        <color theme="2" tint="-0.749961851863155"/>
      </bottom>
      <diagonal/>
    </border>
    <border>
      <left/>
      <right style="mediumDashed">
        <color theme="2" tint="-0.749961851863155"/>
      </right>
      <top style="mediumDashed">
        <color theme="2" tint="-0.749961851863155"/>
      </top>
      <bottom style="mediumDashed">
        <color theme="2" tint="-0.749961851863155"/>
      </bottom>
      <diagonal/>
    </border>
    <border>
      <left style="mediumDashed">
        <color theme="9" tint="-0.499984740745262"/>
      </left>
      <right style="mediumDashed">
        <color theme="9" tint="-0.499984740745262"/>
      </right>
      <top style="mediumDashed">
        <color theme="9" tint="-0.499984740745262"/>
      </top>
      <bottom/>
      <diagonal/>
    </border>
    <border>
      <left style="mediumDashed">
        <color theme="9" tint="-0.499984740745262"/>
      </left>
      <right style="mediumDashed">
        <color theme="9" tint="-0.499984740745262"/>
      </right>
      <top/>
      <bottom/>
      <diagonal/>
    </border>
    <border>
      <left style="mediumDashed">
        <color theme="9" tint="-0.499984740745262"/>
      </left>
      <right style="mediumDashed">
        <color theme="9" tint="-0.499984740745262"/>
      </right>
      <top/>
      <bottom style="mediumDashed">
        <color theme="9" tint="-0.499984740745262"/>
      </bottom>
      <diagonal/>
    </border>
    <border>
      <left/>
      <right/>
      <top/>
      <bottom style="thick">
        <color auto="1"/>
      </bottom>
      <diagonal/>
    </border>
    <border>
      <left style="mediumDashed">
        <color theme="9" tint="-0.499984740745262"/>
      </left>
      <right style="mediumDashed">
        <color theme="9" tint="-0.499984740745262"/>
      </right>
      <top/>
      <bottom style="thick">
        <color auto="1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18" fillId="0" borderId="0" applyNumberFormat="0" applyFill="0" applyBorder="0" applyAlignment="0" applyProtection="0"/>
    <xf numFmtId="0" fontId="19" fillId="4" borderId="3" applyNumberFormat="0" applyBorder="0" applyProtection="0">
      <alignment vertical="center"/>
    </xf>
  </cellStyleXfs>
  <cellXfs count="235">
    <xf numFmtId="0" fontId="0" fillId="0" borderId="0" xfId="0"/>
    <xf numFmtId="0" fontId="6" fillId="0" borderId="0" xfId="0" applyFont="1"/>
    <xf numFmtId="164" fontId="9" fillId="2" borderId="0" xfId="4" applyNumberFormat="1" applyFont="1" applyFill="1" applyAlignment="1">
      <alignment vertical="center"/>
    </xf>
    <xf numFmtId="0" fontId="9" fillId="2" borderId="0" xfId="0" applyFont="1" applyFill="1"/>
    <xf numFmtId="164" fontId="10" fillId="2" borderId="1" xfId="3" applyNumberFormat="1" applyFont="1" applyFill="1" applyBorder="1" applyAlignment="1">
      <alignment vertical="center"/>
    </xf>
    <xf numFmtId="164" fontId="9" fillId="2" borderId="0" xfId="3" applyNumberFormat="1" applyFont="1" applyFill="1" applyAlignment="1">
      <alignment wrapText="1"/>
    </xf>
    <xf numFmtId="164" fontId="9" fillId="2" borderId="0" xfId="3" applyNumberFormat="1" applyFont="1" applyFill="1" applyAlignment="1">
      <alignment vertical="center"/>
    </xf>
    <xf numFmtId="3" fontId="11" fillId="2" borderId="0" xfId="0" applyNumberFormat="1" applyFont="1" applyFill="1"/>
    <xf numFmtId="0" fontId="12" fillId="0" borderId="0" xfId="0" applyFont="1"/>
    <xf numFmtId="164" fontId="13" fillId="2" borderId="1" xfId="3" applyNumberFormat="1" applyFont="1" applyFill="1" applyBorder="1" applyAlignment="1">
      <alignment vertical="center"/>
    </xf>
    <xf numFmtId="0" fontId="9" fillId="0" borderId="0" xfId="0" applyFont="1"/>
    <xf numFmtId="0" fontId="15" fillId="0" borderId="0" xfId="0" applyFont="1"/>
    <xf numFmtId="164" fontId="13" fillId="2" borderId="2" xfId="3" applyNumberFormat="1" applyFont="1" applyFill="1" applyBorder="1" applyAlignment="1">
      <alignment vertical="center"/>
    </xf>
    <xf numFmtId="3" fontId="13" fillId="2" borderId="2" xfId="0" applyNumberFormat="1" applyFont="1" applyFill="1" applyBorder="1"/>
    <xf numFmtId="165" fontId="13" fillId="2" borderId="2" xfId="1" applyNumberFormat="1" applyFont="1" applyFill="1" applyBorder="1" applyAlignment="1">
      <alignment horizontal="right"/>
    </xf>
    <xf numFmtId="9" fontId="12" fillId="2" borderId="2" xfId="2" applyFont="1" applyFill="1" applyBorder="1"/>
    <xf numFmtId="3" fontId="16" fillId="3" borderId="0" xfId="0" applyNumberFormat="1" applyFont="1" applyFill="1"/>
    <xf numFmtId="10" fontId="9" fillId="2" borderId="0" xfId="2" applyNumberFormat="1" applyFont="1" applyFill="1" applyAlignment="1">
      <alignment horizontal="right" wrapText="1"/>
    </xf>
    <xf numFmtId="166" fontId="9" fillId="2" borderId="0" xfId="3" applyNumberFormat="1" applyFont="1" applyFill="1" applyAlignment="1">
      <alignment horizontal="right" wrapText="1"/>
    </xf>
    <xf numFmtId="9" fontId="9" fillId="2" borderId="0" xfId="2" applyFont="1" applyFill="1" applyAlignment="1">
      <alignment horizontal="right" wrapText="1"/>
    </xf>
    <xf numFmtId="0" fontId="3" fillId="0" borderId="0" xfId="0" applyFont="1"/>
    <xf numFmtId="0" fontId="3" fillId="5" borderId="0" xfId="0" applyFont="1" applyFill="1"/>
    <xf numFmtId="0" fontId="3" fillId="7" borderId="0" xfId="0" applyFont="1" applyFill="1"/>
    <xf numFmtId="0" fontId="3" fillId="6" borderId="0" xfId="0" applyFont="1" applyFill="1"/>
    <xf numFmtId="0" fontId="3" fillId="0" borderId="0" xfId="0" applyFont="1" applyAlignment="1">
      <alignment horizontal="center"/>
    </xf>
    <xf numFmtId="167" fontId="3" fillId="0" borderId="0" xfId="1" applyNumberFormat="1" applyFont="1"/>
    <xf numFmtId="167" fontId="3" fillId="0" borderId="0" xfId="0" applyNumberFormat="1" applyFont="1" applyAlignment="1">
      <alignment horizontal="center"/>
    </xf>
    <xf numFmtId="165" fontId="2" fillId="2" borderId="0" xfId="1" applyNumberFormat="1" applyFont="1" applyFill="1"/>
    <xf numFmtId="3" fontId="10" fillId="2" borderId="2" xfId="0" applyNumberFormat="1" applyFont="1" applyFill="1" applyBorder="1"/>
    <xf numFmtId="0" fontId="32" fillId="0" borderId="0" xfId="0" applyFont="1"/>
    <xf numFmtId="0" fontId="1" fillId="0" borderId="0" xfId="0" applyFont="1"/>
    <xf numFmtId="0" fontId="1" fillId="5" borderId="0" xfId="0" applyFont="1" applyFill="1"/>
    <xf numFmtId="167" fontId="3" fillId="0" borderId="0" xfId="0" applyNumberFormat="1" applyFont="1"/>
    <xf numFmtId="0" fontId="1" fillId="7" borderId="0" xfId="0" applyFont="1" applyFill="1" applyAlignment="1">
      <alignment horizontal="left"/>
    </xf>
    <xf numFmtId="43" fontId="3" fillId="0" borderId="0" xfId="1" applyFont="1"/>
    <xf numFmtId="167" fontId="1" fillId="7" borderId="0" xfId="0" applyNumberFormat="1" applyFont="1" applyFill="1" applyAlignment="1">
      <alignment horizontal="left"/>
    </xf>
    <xf numFmtId="0" fontId="3" fillId="7" borderId="0" xfId="0" applyFont="1" applyFill="1" applyAlignment="1">
      <alignment horizontal="center"/>
    </xf>
    <xf numFmtId="167" fontId="3" fillId="7" borderId="0" xfId="0" applyNumberFormat="1" applyFont="1" applyFill="1"/>
    <xf numFmtId="9" fontId="3" fillId="0" borderId="0" xfId="2" applyFont="1"/>
    <xf numFmtId="167" fontId="1" fillId="0" borderId="0" xfId="1" applyNumberFormat="1" applyFont="1"/>
    <xf numFmtId="167" fontId="1" fillId="0" borderId="0" xfId="0" applyNumberFormat="1" applyFont="1"/>
    <xf numFmtId="167" fontId="9" fillId="0" borderId="0" xfId="1" applyNumberFormat="1" applyFont="1"/>
    <xf numFmtId="9" fontId="9" fillId="0" borderId="0" xfId="2" applyFont="1"/>
    <xf numFmtId="168" fontId="1" fillId="0" borderId="0" xfId="0" applyNumberFormat="1" applyFont="1"/>
    <xf numFmtId="0" fontId="1" fillId="0" borderId="0" xfId="0" applyFont="1" applyAlignment="1">
      <alignment vertical="center"/>
    </xf>
    <xf numFmtId="164" fontId="9" fillId="2" borderId="0" xfId="3" applyNumberFormat="1" applyFont="1" applyFill="1" applyAlignment="1">
      <alignment vertical="center" wrapText="1"/>
    </xf>
    <xf numFmtId="3" fontId="12" fillId="2" borderId="0" xfId="0" applyNumberFormat="1" applyFont="1" applyFill="1"/>
    <xf numFmtId="9" fontId="11" fillId="2" borderId="0" xfId="2" applyFont="1" applyFill="1"/>
    <xf numFmtId="9" fontId="13" fillId="2" borderId="1" xfId="2" applyFont="1" applyFill="1" applyBorder="1" applyAlignment="1">
      <alignment vertical="center"/>
    </xf>
    <xf numFmtId="9" fontId="12" fillId="2" borderId="0" xfId="2" applyFont="1" applyFill="1"/>
    <xf numFmtId="0" fontId="13" fillId="0" borderId="0" xfId="0" applyFont="1" applyAlignment="1">
      <alignment vertical="center"/>
    </xf>
    <xf numFmtId="165" fontId="38" fillId="2" borderId="0" xfId="1" applyNumberFormat="1" applyFont="1" applyFill="1"/>
    <xf numFmtId="0" fontId="38" fillId="2" borderId="0" xfId="0" applyFont="1" applyFill="1"/>
    <xf numFmtId="3" fontId="9" fillId="2" borderId="0" xfId="3" applyNumberFormat="1" applyFont="1" applyFill="1" applyAlignment="1">
      <alignment horizontal="right" wrapText="1"/>
    </xf>
    <xf numFmtId="0" fontId="41" fillId="0" borderId="0" xfId="0" applyFont="1"/>
    <xf numFmtId="0" fontId="13" fillId="0" borderId="0" xfId="0" applyFont="1"/>
    <xf numFmtId="9" fontId="13" fillId="2" borderId="4" xfId="2" applyFont="1" applyFill="1" applyBorder="1"/>
    <xf numFmtId="0" fontId="1" fillId="0" borderId="0" xfId="0" applyFont="1" applyAlignment="1">
      <alignment horizontal="center"/>
    </xf>
    <xf numFmtId="0" fontId="1" fillId="6" borderId="0" xfId="0" applyFont="1" applyFill="1"/>
    <xf numFmtId="9" fontId="1" fillId="0" borderId="0" xfId="2" applyFont="1"/>
    <xf numFmtId="3" fontId="1" fillId="0" borderId="0" xfId="0" applyNumberFormat="1" applyFont="1"/>
    <xf numFmtId="0" fontId="22" fillId="9" borderId="0" xfId="0" applyFont="1" applyFill="1" applyAlignment="1">
      <alignment vertical="center"/>
    </xf>
    <xf numFmtId="0" fontId="0" fillId="9" borderId="0" xfId="0" applyFill="1"/>
    <xf numFmtId="0" fontId="17" fillId="9" borderId="0" xfId="0" applyFont="1" applyFill="1" applyAlignment="1">
      <alignment vertical="center"/>
    </xf>
    <xf numFmtId="0" fontId="23" fillId="9" borderId="0" xfId="0" applyFont="1" applyFill="1" applyAlignment="1">
      <alignment horizontal="justify" vertical="center"/>
    </xf>
    <xf numFmtId="0" fontId="24" fillId="9" borderId="0" xfId="0" applyFont="1" applyFill="1"/>
    <xf numFmtId="0" fontId="12" fillId="9" borderId="0" xfId="0" applyFont="1" applyFill="1"/>
    <xf numFmtId="0" fontId="6" fillId="9" borderId="0" xfId="0" applyFont="1" applyFill="1"/>
    <xf numFmtId="0" fontId="25" fillId="9" borderId="0" xfId="5" applyFont="1" applyFill="1" applyAlignment="1"/>
    <xf numFmtId="0" fontId="0" fillId="10" borderId="0" xfId="0" applyFill="1"/>
    <xf numFmtId="0" fontId="9" fillId="10" borderId="0" xfId="0" applyFont="1" applyFill="1" applyAlignment="1">
      <alignment horizontal="left" vertical="top" wrapText="1"/>
    </xf>
    <xf numFmtId="0" fontId="9" fillId="10" borderId="0" xfId="0" applyFont="1" applyFill="1" applyAlignment="1">
      <alignment vertical="top" wrapText="1"/>
    </xf>
    <xf numFmtId="0" fontId="29" fillId="10" borderId="0" xfId="0" applyFont="1" applyFill="1" applyAlignment="1">
      <alignment vertical="top" wrapText="1"/>
    </xf>
    <xf numFmtId="0" fontId="10" fillId="10" borderId="0" xfId="0" applyFont="1" applyFill="1" applyAlignment="1">
      <alignment vertical="top" wrapText="1"/>
    </xf>
    <xf numFmtId="0" fontId="30" fillId="10" borderId="0" xfId="0" applyFont="1" applyFill="1" applyAlignment="1">
      <alignment vertical="top" wrapText="1"/>
    </xf>
    <xf numFmtId="0" fontId="28" fillId="10" borderId="0" xfId="0" applyFont="1" applyFill="1"/>
    <xf numFmtId="0" fontId="27" fillId="10" borderId="0" xfId="0" applyFont="1" applyFill="1"/>
    <xf numFmtId="0" fontId="31" fillId="10" borderId="0" xfId="0" applyFont="1" applyFill="1"/>
    <xf numFmtId="0" fontId="40" fillId="10" borderId="0" xfId="0" applyFont="1" applyFill="1"/>
    <xf numFmtId="3" fontId="9" fillId="9" borderId="0" xfId="0" applyNumberFormat="1" applyFont="1" applyFill="1"/>
    <xf numFmtId="9" fontId="11" fillId="9" borderId="0" xfId="2" applyFont="1" applyFill="1"/>
    <xf numFmtId="9" fontId="10" fillId="9" borderId="1" xfId="2" applyFont="1" applyFill="1" applyBorder="1" applyAlignment="1">
      <alignment vertical="center"/>
    </xf>
    <xf numFmtId="0" fontId="36" fillId="9" borderId="0" xfId="0" applyFont="1" applyFill="1"/>
    <xf numFmtId="165" fontId="38" fillId="9" borderId="0" xfId="1" applyNumberFormat="1" applyFont="1" applyFill="1"/>
    <xf numFmtId="0" fontId="38" fillId="9" borderId="0" xfId="0" applyFont="1" applyFill="1"/>
    <xf numFmtId="164" fontId="8" fillId="9" borderId="0" xfId="3" applyNumberFormat="1" applyFont="1" applyFill="1" applyAlignment="1">
      <alignment vertical="center"/>
    </xf>
    <xf numFmtId="3" fontId="8" fillId="9" borderId="0" xfId="0" applyNumberFormat="1" applyFont="1" applyFill="1"/>
    <xf numFmtId="164" fontId="7" fillId="9" borderId="1" xfId="3" applyNumberFormat="1" applyFont="1" applyFill="1" applyBorder="1" applyAlignment="1">
      <alignment vertical="center"/>
    </xf>
    <xf numFmtId="3" fontId="7" fillId="9" borderId="1" xfId="0" applyNumberFormat="1" applyFont="1" applyFill="1" applyBorder="1"/>
    <xf numFmtId="164" fontId="8" fillId="9" borderId="0" xfId="3" applyNumberFormat="1" applyFont="1" applyFill="1" applyAlignment="1">
      <alignment vertical="center" wrapText="1"/>
    </xf>
    <xf numFmtId="164" fontId="8" fillId="9" borderId="0" xfId="3" applyNumberFormat="1" applyFont="1" applyFill="1" applyAlignment="1">
      <alignment horizontal="left" vertical="center" wrapText="1"/>
    </xf>
    <xf numFmtId="0" fontId="37" fillId="9" borderId="0" xfId="0" applyFont="1" applyFill="1"/>
    <xf numFmtId="3" fontId="36" fillId="9" borderId="0" xfId="0" applyNumberFormat="1" applyFont="1" applyFill="1"/>
    <xf numFmtId="9" fontId="36" fillId="9" borderId="0" xfId="2" applyFont="1" applyFill="1"/>
    <xf numFmtId="3" fontId="8" fillId="9" borderId="0" xfId="0" applyNumberFormat="1" applyFont="1" applyFill="1" applyAlignment="1">
      <alignment horizontal="right" vertical="center"/>
    </xf>
    <xf numFmtId="0" fontId="21" fillId="8" borderId="0" xfId="0" applyFont="1" applyFill="1"/>
    <xf numFmtId="0" fontId="3" fillId="9" borderId="0" xfId="0" applyFont="1" applyFill="1"/>
    <xf numFmtId="0" fontId="21" fillId="9" borderId="0" xfId="0" applyFont="1" applyFill="1"/>
    <xf numFmtId="0" fontId="34" fillId="9" borderId="0" xfId="0" applyFont="1" applyFill="1"/>
    <xf numFmtId="164" fontId="9" fillId="9" borderId="0" xfId="3" applyNumberFormat="1" applyFont="1" applyFill="1" applyAlignment="1">
      <alignment wrapText="1"/>
    </xf>
    <xf numFmtId="164" fontId="9" fillId="9" borderId="0" xfId="3" applyNumberFormat="1" applyFont="1" applyFill="1" applyAlignment="1">
      <alignment vertical="center"/>
    </xf>
    <xf numFmtId="9" fontId="9" fillId="9" borderId="0" xfId="2" applyFont="1" applyFill="1"/>
    <xf numFmtId="164" fontId="9" fillId="9" borderId="7" xfId="3" applyNumberFormat="1" applyFont="1" applyFill="1" applyBorder="1" applyAlignment="1">
      <alignment vertical="center"/>
    </xf>
    <xf numFmtId="3" fontId="9" fillId="9" borderId="7" xfId="0" applyNumberFormat="1" applyFont="1" applyFill="1" applyBorder="1"/>
    <xf numFmtId="164" fontId="9" fillId="9" borderId="7" xfId="3" applyNumberFormat="1" applyFont="1" applyFill="1" applyBorder="1" applyAlignment="1">
      <alignment wrapText="1"/>
    </xf>
    <xf numFmtId="9" fontId="9" fillId="9" borderId="8" xfId="2" applyFont="1" applyFill="1" applyBorder="1"/>
    <xf numFmtId="9" fontId="9" fillId="9" borderId="0" xfId="2" applyFont="1" applyFill="1" applyAlignment="1">
      <alignment horizontal="center" vertical="center"/>
    </xf>
    <xf numFmtId="0" fontId="1" fillId="9" borderId="0" xfId="0" applyFont="1" applyFill="1"/>
    <xf numFmtId="0" fontId="42" fillId="9" borderId="0" xfId="0" applyFont="1" applyFill="1"/>
    <xf numFmtId="9" fontId="1" fillId="9" borderId="0" xfId="2" applyFont="1" applyFill="1"/>
    <xf numFmtId="0" fontId="6" fillId="9" borderId="0" xfId="0" applyFont="1" applyFill="1" applyAlignment="1">
      <alignment vertical="center"/>
    </xf>
    <xf numFmtId="164" fontId="10" fillId="9" borderId="0" xfId="3" applyNumberFormat="1" applyFont="1" applyFill="1" applyAlignment="1">
      <alignment vertical="center"/>
    </xf>
    <xf numFmtId="164" fontId="9" fillId="9" borderId="7" xfId="3" applyNumberFormat="1" applyFont="1" applyFill="1" applyBorder="1" applyAlignment="1">
      <alignment vertical="center" wrapText="1"/>
    </xf>
    <xf numFmtId="3" fontId="9" fillId="9" borderId="7" xfId="0" applyNumberFormat="1" applyFont="1" applyFill="1" applyBorder="1" applyAlignment="1">
      <alignment vertical="center" wrapText="1"/>
    </xf>
    <xf numFmtId="9" fontId="9" fillId="9" borderId="8" xfId="2" applyFont="1" applyFill="1" applyBorder="1" applyAlignment="1">
      <alignment vertical="center" wrapText="1"/>
    </xf>
    <xf numFmtId="164" fontId="6" fillId="0" borderId="0" xfId="0" applyNumberFormat="1" applyFont="1"/>
    <xf numFmtId="164" fontId="6" fillId="9" borderId="0" xfId="0" applyNumberFormat="1" applyFont="1" applyFill="1"/>
    <xf numFmtId="0" fontId="41" fillId="9" borderId="0" xfId="0" applyFont="1" applyFill="1"/>
    <xf numFmtId="164" fontId="1" fillId="9" borderId="0" xfId="0" applyNumberFormat="1" applyFont="1" applyFill="1"/>
    <xf numFmtId="0" fontId="1" fillId="2" borderId="0" xfId="0" applyFont="1" applyFill="1"/>
    <xf numFmtId="169" fontId="9" fillId="0" borderId="9" xfId="0" applyNumberFormat="1" applyFont="1" applyBorder="1"/>
    <xf numFmtId="0" fontId="10" fillId="0" borderId="0" xfId="0" applyFont="1" applyAlignment="1">
      <alignment horizontal="left" vertical="center" wrapText="1" indent="1"/>
    </xf>
    <xf numFmtId="169" fontId="9" fillId="0" borderId="0" xfId="1" applyNumberFormat="1" applyFont="1" applyFill="1"/>
    <xf numFmtId="169" fontId="10" fillId="0" borderId="0" xfId="0" applyNumberFormat="1" applyFont="1"/>
    <xf numFmtId="169" fontId="10" fillId="0" borderId="10" xfId="0" applyNumberFormat="1" applyFont="1" applyBorder="1"/>
    <xf numFmtId="3" fontId="10" fillId="0" borderId="0" xfId="0" applyNumberFormat="1" applyFont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9" fillId="0" borderId="11" xfId="0" applyFont="1" applyBorder="1"/>
    <xf numFmtId="1" fontId="11" fillId="0" borderId="0" xfId="0" applyNumberFormat="1" applyFont="1"/>
    <xf numFmtId="3" fontId="9" fillId="0" borderId="0" xfId="0" applyNumberFormat="1" applyFont="1"/>
    <xf numFmtId="169" fontId="9" fillId="0" borderId="0" xfId="0" applyNumberFormat="1" applyFont="1"/>
    <xf numFmtId="3" fontId="8" fillId="11" borderId="0" xfId="0" applyNumberFormat="1" applyFont="1" applyFill="1"/>
    <xf numFmtId="10" fontId="8" fillId="11" borderId="0" xfId="2" applyNumberFormat="1" applyFont="1" applyFill="1"/>
    <xf numFmtId="3" fontId="7" fillId="11" borderId="1" xfId="0" applyNumberFormat="1" applyFont="1" applyFill="1" applyBorder="1"/>
    <xf numFmtId="10" fontId="7" fillId="11" borderId="1" xfId="2" applyNumberFormat="1" applyFont="1" applyFill="1" applyBorder="1"/>
    <xf numFmtId="0" fontId="21" fillId="0" borderId="0" xfId="0" applyFont="1"/>
    <xf numFmtId="3" fontId="21" fillId="0" borderId="0" xfId="0" applyNumberFormat="1" applyFont="1"/>
    <xf numFmtId="164" fontId="10" fillId="10" borderId="1" xfId="3" applyNumberFormat="1" applyFont="1" applyFill="1" applyBorder="1" applyAlignment="1">
      <alignment vertical="center"/>
    </xf>
    <xf numFmtId="0" fontId="10" fillId="10" borderId="1" xfId="0" applyFont="1" applyFill="1" applyBorder="1" applyAlignment="1">
      <alignment horizontal="center" vertical="center"/>
    </xf>
    <xf numFmtId="3" fontId="9" fillId="2" borderId="0" xfId="0" applyNumberFormat="1" applyFont="1" applyFill="1"/>
    <xf numFmtId="9" fontId="9" fillId="2" borderId="0" xfId="2" applyFont="1" applyFill="1" applyAlignment="1">
      <alignment horizontal="right"/>
    </xf>
    <xf numFmtId="3" fontId="10" fillId="2" borderId="1" xfId="0" applyNumberFormat="1" applyFont="1" applyFill="1" applyBorder="1"/>
    <xf numFmtId="9" fontId="10" fillId="2" borderId="1" xfId="2" applyFont="1" applyFill="1" applyBorder="1" applyAlignment="1">
      <alignment horizontal="right"/>
    </xf>
    <xf numFmtId="164" fontId="10" fillId="2" borderId="0" xfId="3" applyNumberFormat="1" applyFont="1" applyFill="1" applyAlignment="1">
      <alignment vertical="center"/>
    </xf>
    <xf numFmtId="164" fontId="43" fillId="2" borderId="0" xfId="4" applyNumberFormat="1" applyFont="1" applyFill="1" applyAlignment="1">
      <alignment vertical="center"/>
    </xf>
    <xf numFmtId="164" fontId="1" fillId="0" borderId="0" xfId="0" applyNumberFormat="1" applyFont="1"/>
    <xf numFmtId="9" fontId="9" fillId="2" borderId="0" xfId="2" applyFont="1" applyFill="1"/>
    <xf numFmtId="9" fontId="14" fillId="8" borderId="0" xfId="2" applyFont="1" applyFill="1"/>
    <xf numFmtId="3" fontId="13" fillId="2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164" fontId="10" fillId="2" borderId="1" xfId="3" applyNumberFormat="1" applyFont="1" applyFill="1" applyBorder="1" applyAlignment="1">
      <alignment vertical="center" wrapText="1"/>
    </xf>
    <xf numFmtId="9" fontId="10" fillId="2" borderId="1" xfId="2" applyFont="1" applyFill="1" applyBorder="1" applyAlignment="1">
      <alignment vertical="center"/>
    </xf>
    <xf numFmtId="9" fontId="10" fillId="8" borderId="1" xfId="2" applyFont="1" applyFill="1" applyBorder="1" applyAlignment="1">
      <alignment vertical="center"/>
    </xf>
    <xf numFmtId="9" fontId="10" fillId="8" borderId="0" xfId="2" applyFont="1" applyFill="1"/>
    <xf numFmtId="3" fontId="13" fillId="2" borderId="0" xfId="0" applyNumberFormat="1" applyFont="1" applyFill="1"/>
    <xf numFmtId="3" fontId="10" fillId="2" borderId="0" xfId="0" applyNumberFormat="1" applyFont="1" applyFill="1"/>
    <xf numFmtId="164" fontId="10" fillId="2" borderId="0" xfId="3" applyNumberFormat="1" applyFont="1" applyFill="1" applyAlignment="1">
      <alignment wrapText="1"/>
    </xf>
    <xf numFmtId="9" fontId="10" fillId="2" borderId="0" xfId="2" applyFont="1" applyFill="1"/>
    <xf numFmtId="9" fontId="10" fillId="8" borderId="4" xfId="2" applyFont="1" applyFill="1" applyBorder="1"/>
    <xf numFmtId="164" fontId="11" fillId="2" borderId="0" xfId="3" applyNumberFormat="1" applyFont="1" applyFill="1" applyAlignment="1">
      <alignment vertical="center"/>
    </xf>
    <xf numFmtId="3" fontId="9" fillId="2" borderId="1" xfId="0" applyNumberFormat="1" applyFont="1" applyFill="1" applyBorder="1"/>
    <xf numFmtId="164" fontId="14" fillId="2" borderId="1" xfId="3" applyNumberFormat="1" applyFont="1" applyFill="1" applyBorder="1" applyAlignment="1">
      <alignment vertical="center"/>
    </xf>
    <xf numFmtId="9" fontId="9" fillId="2" borderId="1" xfId="2" applyFont="1" applyFill="1" applyBorder="1"/>
    <xf numFmtId="43" fontId="1" fillId="2" borderId="0" xfId="1" applyFont="1" applyFill="1"/>
    <xf numFmtId="167" fontId="11" fillId="0" borderId="0" xfId="1" applyNumberFormat="1" applyFont="1" applyFill="1" applyAlignment="1">
      <alignment horizontal="center"/>
    </xf>
    <xf numFmtId="43" fontId="1" fillId="0" borderId="0" xfId="1" applyFont="1"/>
    <xf numFmtId="170" fontId="6" fillId="0" borderId="0" xfId="0" applyNumberFormat="1" applyFont="1"/>
    <xf numFmtId="43" fontId="6" fillId="0" borderId="0" xfId="1" applyFont="1"/>
    <xf numFmtId="3" fontId="44" fillId="0" borderId="0" xfId="0" applyNumberFormat="1" applyFont="1"/>
    <xf numFmtId="0" fontId="15" fillId="9" borderId="0" xfId="0" applyFont="1" applyFill="1"/>
    <xf numFmtId="171" fontId="6" fillId="0" borderId="0" xfId="0" applyNumberFormat="1" applyFont="1"/>
    <xf numFmtId="0" fontId="10" fillId="12" borderId="0" xfId="0" applyFont="1" applyFill="1" applyAlignment="1">
      <alignment horizontal="left" vertical="center" wrapText="1" indent="1"/>
    </xf>
    <xf numFmtId="169" fontId="10" fillId="12" borderId="0" xfId="1" applyNumberFormat="1" applyFont="1" applyFill="1"/>
    <xf numFmtId="169" fontId="10" fillId="12" borderId="10" xfId="1" applyNumberFormat="1" applyFont="1" applyFill="1" applyBorder="1"/>
    <xf numFmtId="169" fontId="9" fillId="0" borderId="10" xfId="1" applyNumberFormat="1" applyFont="1" applyFill="1" applyBorder="1"/>
    <xf numFmtId="0" fontId="9" fillId="0" borderId="0" xfId="0" applyFont="1" applyAlignment="1">
      <alignment horizontal="left" vertical="center" wrapText="1" indent="1"/>
    </xf>
    <xf numFmtId="0" fontId="45" fillId="13" borderId="0" xfId="0" applyFont="1" applyFill="1" applyAlignment="1">
      <alignment vertical="center" wrapText="1"/>
    </xf>
    <xf numFmtId="0" fontId="10" fillId="8" borderId="0" xfId="0" applyFont="1" applyFill="1" applyAlignment="1">
      <alignment horizontal="left" vertical="center" wrapText="1" indent="1"/>
    </xf>
    <xf numFmtId="169" fontId="10" fillId="8" borderId="0" xfId="0" applyNumberFormat="1" applyFont="1" applyFill="1"/>
    <xf numFmtId="169" fontId="10" fillId="8" borderId="10" xfId="0" applyNumberFormat="1" applyFont="1" applyFill="1" applyBorder="1"/>
    <xf numFmtId="167" fontId="9" fillId="2" borderId="0" xfId="1" applyNumberFormat="1" applyFont="1" applyFill="1"/>
    <xf numFmtId="169" fontId="10" fillId="0" borderId="0" xfId="0" applyNumberFormat="1" applyFont="1" applyAlignment="1">
      <alignment vertical="center"/>
    </xf>
    <xf numFmtId="169" fontId="10" fillId="0" borderId="10" xfId="0" applyNumberFormat="1" applyFont="1" applyBorder="1" applyAlignment="1">
      <alignment vertical="center"/>
    </xf>
    <xf numFmtId="0" fontId="39" fillId="13" borderId="0" xfId="0" applyFont="1" applyFill="1" applyAlignment="1">
      <alignment horizontal="left" vertical="center" wrapText="1"/>
    </xf>
    <xf numFmtId="164" fontId="10" fillId="14" borderId="5" xfId="3" applyNumberFormat="1" applyFont="1" applyFill="1" applyBorder="1" applyAlignment="1">
      <alignment horizontal="center" vertical="center"/>
    </xf>
    <xf numFmtId="0" fontId="10" fillId="14" borderId="5" xfId="0" applyFont="1" applyFill="1" applyBorder="1" applyAlignment="1">
      <alignment horizontal="center" vertical="center"/>
    </xf>
    <xf numFmtId="164" fontId="9" fillId="14" borderId="0" xfId="3" applyNumberFormat="1" applyFont="1" applyFill="1" applyAlignment="1">
      <alignment vertical="center"/>
    </xf>
    <xf numFmtId="164" fontId="9" fillId="14" borderId="7" xfId="3" applyNumberFormat="1" applyFont="1" applyFill="1" applyBorder="1" applyAlignment="1">
      <alignment vertical="center"/>
    </xf>
    <xf numFmtId="164" fontId="9" fillId="14" borderId="7" xfId="3" applyNumberFormat="1" applyFont="1" applyFill="1" applyBorder="1" applyAlignment="1">
      <alignment vertical="center" wrapText="1"/>
    </xf>
    <xf numFmtId="9" fontId="9" fillId="14" borderId="0" xfId="2" applyFont="1" applyFill="1" applyAlignment="1">
      <alignment horizontal="center" vertical="center"/>
    </xf>
    <xf numFmtId="164" fontId="7" fillId="14" borderId="1" xfId="3" applyNumberFormat="1" applyFont="1" applyFill="1" applyBorder="1" applyAlignment="1">
      <alignment vertical="center" wrapText="1"/>
    </xf>
    <xf numFmtId="0" fontId="7" fillId="14" borderId="1" xfId="0" applyFont="1" applyFill="1" applyBorder="1" applyAlignment="1">
      <alignment horizontal="center" vertical="center" wrapText="1"/>
    </xf>
    <xf numFmtId="10" fontId="7" fillId="14" borderId="1" xfId="2" applyNumberFormat="1" applyFont="1" applyFill="1" applyBorder="1" applyAlignment="1">
      <alignment horizontal="center" vertical="center" wrapText="1"/>
    </xf>
    <xf numFmtId="3" fontId="8" fillId="14" borderId="0" xfId="0" applyNumberFormat="1" applyFont="1" applyFill="1"/>
    <xf numFmtId="10" fontId="8" fillId="14" borderId="0" xfId="2" applyNumberFormat="1" applyFont="1" applyFill="1"/>
    <xf numFmtId="3" fontId="7" fillId="14" borderId="1" xfId="0" applyNumberFormat="1" applyFont="1" applyFill="1" applyBorder="1"/>
    <xf numFmtId="10" fontId="7" fillId="14" borderId="1" xfId="2" applyNumberFormat="1" applyFont="1" applyFill="1" applyBorder="1"/>
    <xf numFmtId="3" fontId="8" fillId="14" borderId="0" xfId="0" applyNumberFormat="1" applyFont="1" applyFill="1" applyAlignment="1">
      <alignment horizontal="right" vertical="center"/>
    </xf>
    <xf numFmtId="164" fontId="10" fillId="14" borderId="1" xfId="3" applyNumberFormat="1" applyFont="1" applyFill="1" applyBorder="1" applyAlignment="1">
      <alignment vertical="center"/>
    </xf>
    <xf numFmtId="0" fontId="10" fillId="14" borderId="1" xfId="0" applyFont="1" applyFill="1" applyBorder="1" applyAlignment="1">
      <alignment horizontal="center" vertical="center"/>
    </xf>
    <xf numFmtId="164" fontId="9" fillId="14" borderId="0" xfId="3" applyNumberFormat="1" applyFont="1" applyFill="1" applyAlignment="1">
      <alignment wrapText="1"/>
    </xf>
    <xf numFmtId="164" fontId="43" fillId="14" borderId="0" xfId="4" applyNumberFormat="1" applyFont="1" applyFill="1" applyAlignment="1">
      <alignment vertical="center"/>
    </xf>
    <xf numFmtId="0" fontId="21" fillId="14" borderId="0" xfId="0" applyFont="1" applyFill="1"/>
    <xf numFmtId="0" fontId="21" fillId="14" borderId="0" xfId="0" applyFont="1" applyFill="1" applyAlignment="1">
      <alignment vertical="center"/>
    </xf>
    <xf numFmtId="15" fontId="10" fillId="14" borderId="12" xfId="1" applyNumberFormat="1" applyFont="1" applyFill="1" applyBorder="1" applyAlignment="1">
      <alignment horizontal="center" vertical="center" wrapText="1"/>
    </xf>
    <xf numFmtId="15" fontId="10" fillId="14" borderId="13" xfId="1" applyNumberFormat="1" applyFont="1" applyFill="1" applyBorder="1" applyAlignment="1">
      <alignment horizontal="center" vertical="center" wrapText="1"/>
    </xf>
    <xf numFmtId="0" fontId="10" fillId="14" borderId="0" xfId="0" applyFont="1" applyFill="1" applyAlignment="1">
      <alignment horizontal="left" vertical="center" wrapText="1" indent="1"/>
    </xf>
    <xf numFmtId="0" fontId="9" fillId="14" borderId="0" xfId="0" applyFont="1" applyFill="1"/>
    <xf numFmtId="0" fontId="9" fillId="14" borderId="10" xfId="0" applyFont="1" applyFill="1" applyBorder="1"/>
    <xf numFmtId="0" fontId="45" fillId="14" borderId="0" xfId="0" applyFont="1" applyFill="1" applyAlignment="1">
      <alignment horizontal="left" vertical="center" wrapText="1"/>
    </xf>
    <xf numFmtId="10" fontId="9" fillId="14" borderId="0" xfId="2" applyNumberFormat="1" applyFont="1" applyFill="1" applyAlignment="1">
      <alignment horizontal="right" wrapText="1"/>
    </xf>
    <xf numFmtId="166" fontId="9" fillId="14" borderId="0" xfId="3" applyNumberFormat="1" applyFont="1" applyFill="1" applyAlignment="1">
      <alignment horizontal="right" wrapText="1"/>
    </xf>
    <xf numFmtId="9" fontId="9" fillId="14" borderId="0" xfId="2" applyFont="1" applyFill="1" applyAlignment="1">
      <alignment horizontal="right" wrapText="1"/>
    </xf>
    <xf numFmtId="3" fontId="9" fillId="14" borderId="0" xfId="3" applyNumberFormat="1" applyFont="1" applyFill="1" applyAlignment="1">
      <alignment horizontal="right" wrapText="1"/>
    </xf>
    <xf numFmtId="0" fontId="10" fillId="15" borderId="4" xfId="0" applyFont="1" applyFill="1" applyBorder="1" applyAlignment="1">
      <alignment vertical="center" wrapText="1"/>
    </xf>
    <xf numFmtId="0" fontId="35" fillId="10" borderId="0" xfId="0" applyFont="1" applyFill="1" applyAlignment="1">
      <alignment horizontal="left" vertical="top" wrapText="1"/>
    </xf>
    <xf numFmtId="0" fontId="33" fillId="10" borderId="0" xfId="0" applyFont="1" applyFill="1" applyAlignment="1">
      <alignment horizontal="left"/>
    </xf>
    <xf numFmtId="0" fontId="20" fillId="10" borderId="0" xfId="0" applyFont="1" applyFill="1" applyAlignment="1">
      <alignment horizontal="left"/>
    </xf>
    <xf numFmtId="0" fontId="40" fillId="10" borderId="0" xfId="0" applyFont="1" applyFill="1" applyAlignment="1">
      <alignment horizontal="left" vertical="top" wrapText="1"/>
    </xf>
    <xf numFmtId="0" fontId="28" fillId="10" borderId="0" xfId="0" applyFont="1" applyFill="1" applyAlignment="1">
      <alignment horizontal="left" vertical="top" wrapText="1"/>
    </xf>
    <xf numFmtId="0" fontId="11" fillId="10" borderId="0" xfId="0" applyFont="1" applyFill="1" applyAlignment="1">
      <alignment horizontal="left" vertical="top" wrapText="1"/>
    </xf>
    <xf numFmtId="0" fontId="10" fillId="10" borderId="0" xfId="0" applyFont="1" applyFill="1" applyAlignment="1">
      <alignment horizontal="left" vertical="top" wrapText="1"/>
    </xf>
    <xf numFmtId="0" fontId="14" fillId="10" borderId="0" xfId="0" applyFont="1" applyFill="1" applyAlignment="1">
      <alignment horizontal="left" vertical="top" wrapText="1"/>
    </xf>
    <xf numFmtId="0" fontId="10" fillId="14" borderId="5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left" vertical="top" wrapText="1"/>
    </xf>
    <xf numFmtId="0" fontId="1" fillId="8" borderId="0" xfId="0" applyFont="1" applyFill="1" applyAlignment="1">
      <alignment horizontal="left" wrapText="1"/>
    </xf>
    <xf numFmtId="10" fontId="7" fillId="14" borderId="1" xfId="2" applyNumberFormat="1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34" fillId="8" borderId="0" xfId="0" applyFont="1" applyFill="1" applyAlignment="1">
      <alignment horizontal="left"/>
    </xf>
    <xf numFmtId="0" fontId="21" fillId="10" borderId="0" xfId="0" applyFont="1" applyFill="1" applyAlignment="1">
      <alignment horizontal="left"/>
    </xf>
    <xf numFmtId="0" fontId="21" fillId="8" borderId="0" xfId="0" applyFont="1" applyFill="1" applyAlignment="1">
      <alignment horizontal="left"/>
    </xf>
    <xf numFmtId="0" fontId="34" fillId="10" borderId="0" xfId="0" applyFont="1" applyFill="1" applyAlignment="1">
      <alignment horizontal="left"/>
    </xf>
    <xf numFmtId="0" fontId="21" fillId="14" borderId="6" xfId="0" applyFont="1" applyFill="1" applyBorder="1"/>
    <xf numFmtId="0" fontId="21" fillId="14" borderId="6" xfId="0" applyFont="1" applyFill="1" applyBorder="1" applyAlignment="1">
      <alignment vertical="center" wrapText="1"/>
    </xf>
  </cellXfs>
  <cellStyles count="7">
    <cellStyle name="Comma" xfId="1" builtinId="3"/>
    <cellStyle name="Gen_Black" xfId="6" xr:uid="{00000000-0005-0000-0000-000001000000}"/>
    <cellStyle name="Hyperlink" xfId="5" builtinId="8"/>
    <cellStyle name="Normal" xfId="0" builtinId="0"/>
    <cellStyle name="Normal_FSWS CONSO TERAPLAST IFRS FINAL" xfId="3" xr:uid="{00000000-0005-0000-0000-000004000000}"/>
    <cellStyle name="Normal_SHEET" xfId="4" xr:uid="{00000000-0005-0000-0000-000005000000}"/>
    <cellStyle name="Percent" xfId="2" builtinId="5"/>
  </cellStyles>
  <dxfs count="24"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</dxfs>
  <tableStyles count="0" defaultTableStyle="TableStyleMedium2" defaultPivotStyle="PivotStyleLight16"/>
  <colors>
    <mruColors>
      <color rgb="FF219EBC"/>
      <color rgb="FFEAEDF2"/>
      <color rgb="FF3BBEDD"/>
      <color rgb="FFE1DFDF"/>
      <color rgb="FFF0F0F0"/>
      <color rgb="FFDEE3EA"/>
      <color rgb="FFF8F9FA"/>
      <color rgb="FFE6E9EE"/>
      <color rgb="FFE92823"/>
      <color rgb="FFFF3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GB" sz="1100">
                <a:solidFill>
                  <a:schemeClr val="bg1"/>
                </a:solidFill>
                <a:latin typeface="Candara" panose="020E0502030303020204" pitchFamily="34" charset="0"/>
              </a:rPr>
              <a:t>Evolutia</a:t>
            </a:r>
            <a:r>
              <a:rPr lang="en-GB" sz="1100" baseline="0">
                <a:solidFill>
                  <a:schemeClr val="bg1"/>
                </a:solidFill>
                <a:latin typeface="Candara" panose="020E0502030303020204" pitchFamily="34" charset="0"/>
              </a:rPr>
              <a:t> indicatorului "Venituri"</a:t>
            </a:r>
            <a:endParaRPr lang="en-GB" sz="1100">
              <a:solidFill>
                <a:schemeClr val="bg1"/>
              </a:solidFill>
              <a:latin typeface="Candara" panose="020E0502030303020204" pitchFamily="34" charset="0"/>
            </a:endParaRPr>
          </a:p>
        </c:rich>
      </c:tx>
      <c:layout>
        <c:manualLayout>
          <c:xMode val="edge"/>
          <c:yMode val="edge"/>
          <c:x val="2.613340434669072E-3"/>
          <c:y val="3.2884439733607716E-3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0147484922298856E-2"/>
          <c:y val="0.10862074864010243"/>
          <c:w val="0.96834461831348051"/>
          <c:h val="0.73631997628019352"/>
        </c:manualLayout>
      </c:layout>
      <c:lineChart>
        <c:grouping val="standard"/>
        <c:varyColors val="0"/>
        <c:ser>
          <c:idx val="1"/>
          <c:order val="0"/>
          <c:spPr>
            <a:ln w="12700" cap="rnd">
              <a:solidFill>
                <a:srgbClr val="EAEDF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'2.Sit.Rezultatului Global'!$C$3:$G$3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'2.Sit.Rezultatului Global'!$C$4:$G$4</c:f>
              <c:numCache>
                <c:formatCode>_(* #,##0_);_(* \(#,##0\);_(* "-"_);_(@_)</c:formatCode>
                <c:ptCount val="5"/>
                <c:pt idx="0">
                  <c:v>247889050.57413402</c:v>
                </c:pt>
                <c:pt idx="1">
                  <c:v>256828357.77874568</c:v>
                </c:pt>
                <c:pt idx="2">
                  <c:v>341319436</c:v>
                </c:pt>
                <c:pt idx="3">
                  <c:v>381985677</c:v>
                </c:pt>
                <c:pt idx="4">
                  <c:v>304683985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39-40A4-842A-F57B55C62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438480"/>
        <c:axId val="659435200"/>
      </c:lineChart>
      <c:catAx>
        <c:axId val="65943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/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59435200"/>
        <c:crosses val="autoZero"/>
        <c:auto val="1"/>
        <c:lblAlgn val="ctr"/>
        <c:lblOffset val="100"/>
        <c:noMultiLvlLbl val="0"/>
      </c:catAx>
      <c:valAx>
        <c:axId val="659435200"/>
        <c:scaling>
          <c:orientation val="minMax"/>
          <c:min val="200000000"/>
        </c:scaling>
        <c:delete val="1"/>
        <c:axPos val="l"/>
        <c:numFmt formatCode="_(* #,##0_);_(* \(#,##0\);_(* &quot;-&quot;_);_(@_)" sourceLinked="1"/>
        <c:majorTickMark val="out"/>
        <c:minorTickMark val="none"/>
        <c:tickLblPos val="nextTo"/>
        <c:crossAx val="65943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219EB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en-US" sz="1100">
                <a:solidFill>
                  <a:sysClr val="windowText" lastClr="000000"/>
                </a:solidFill>
                <a:latin typeface="Candara" panose="020E0502030303020204" pitchFamily="34" charset="0"/>
              </a:rPr>
              <a:t>Evolutia indicatorului Venituri</a:t>
            </a:r>
          </a:p>
        </c:rich>
      </c:tx>
      <c:layout>
        <c:manualLayout>
          <c:xMode val="edge"/>
          <c:yMode val="edge"/>
          <c:x val="0.32029302087505551"/>
          <c:y val="5.7289328686969572E-3"/>
        </c:manualLayout>
      </c:layout>
      <c:overlay val="0"/>
      <c:spPr>
        <a:solidFill>
          <a:srgbClr val="219EBC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4.3122922134733163E-2"/>
          <c:y val="0.25339177944554919"/>
          <c:w val="0.92632152230971132"/>
          <c:h val="0.6477080362502907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219EB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Snapshots!$D$3:$H$3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Snapshots!$D$4:$H$4</c:f>
              <c:numCache>
                <c:formatCode>_(* #,##0_);_(* \(#,##0\);_(* "-"_);_(@_)</c:formatCode>
                <c:ptCount val="5"/>
                <c:pt idx="0">
                  <c:v>247889050.57413402</c:v>
                </c:pt>
                <c:pt idx="1">
                  <c:v>256828357.77874568</c:v>
                </c:pt>
                <c:pt idx="2">
                  <c:v>341319436</c:v>
                </c:pt>
                <c:pt idx="3">
                  <c:v>381985677</c:v>
                </c:pt>
                <c:pt idx="4">
                  <c:v>304683985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64-4D44-BB97-AC5C9EBF6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100"/>
        <c:axId val="1651171103"/>
        <c:axId val="1660750815"/>
      </c:barChart>
      <c:catAx>
        <c:axId val="1651171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660750815"/>
        <c:crosses val="autoZero"/>
        <c:auto val="1"/>
        <c:lblAlgn val="ctr"/>
        <c:lblOffset val="100"/>
        <c:noMultiLvlLbl val="0"/>
      </c:catAx>
      <c:valAx>
        <c:axId val="1660750815"/>
        <c:scaling>
          <c:orientation val="minMax"/>
        </c:scaling>
        <c:delete val="1"/>
        <c:axPos val="l"/>
        <c:numFmt formatCode="_(* #,##0_);_(* \(#,##0\);_(* &quot;-&quot;_);_(@_)" sourceLinked="1"/>
        <c:majorTickMark val="none"/>
        <c:minorTickMark val="none"/>
        <c:tickLblPos val="nextTo"/>
        <c:crossAx val="1651171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hiddenPage!$Q$62</c:f>
          <c:strCache>
            <c:ptCount val="1"/>
            <c:pt idx="0">
              <c:v>Structura veniturilor (vanzarilor) pe firme in 2023</c:v>
            </c:pt>
          </c:strCache>
        </c:strRef>
      </c:tx>
      <c:layout>
        <c:manualLayout>
          <c:xMode val="edge"/>
          <c:yMode val="edge"/>
          <c:x val="0.13690266841644794"/>
          <c:y val="2.7777777777777776E-2"/>
        </c:manualLayout>
      </c:layout>
      <c:overlay val="0"/>
      <c:spPr>
        <a:solidFill>
          <a:schemeClr val="bg2">
            <a:lumMod val="7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31506846019247592"/>
          <c:y val="0.21689012831729368"/>
          <c:w val="0.63529265091863518"/>
          <c:h val="0.574776538349373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19EBC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4849E7F-CAE8-4288-B18E-7901D80EF957}" type="CELLRANGE">
                      <a:rPr lang="en-US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321-42E8-A4DE-05D55607448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ABA977A-1178-4060-9ADA-94F0BE3BFACA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B321-42E8-A4DE-05D55607448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05F439E-4541-4766-8B28-C8EC9641DD48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321-42E8-A4DE-05D55607448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FA5D3D1-12F2-4F16-AF97-81AF0E836812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321-42E8-A4DE-05D55607448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82A5B67-71A6-443F-9471-4101A94984F1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321-42E8-A4DE-05D55607448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EEADEA0-9A18-4F75-B69C-D5E66C339013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321-42E8-A4DE-05D55607448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5967F1E-ED2F-490C-95DA-D460C9B5F538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321-42E8-A4DE-05D5560744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hiddenPage!$N$52:$N$58</c:f>
              <c:strCache>
                <c:ptCount val="7"/>
                <c:pt idx="0">
                  <c:v>Romcarbon SA</c:v>
                </c:pt>
                <c:pt idx="1">
                  <c:v>LivingJumbo Industry SA</c:v>
                </c:pt>
                <c:pt idx="2">
                  <c:v>RC Energo Install SRL</c:v>
                </c:pt>
                <c:pt idx="3">
                  <c:v>Info Tech Solutions SRL</c:v>
                </c:pt>
                <c:pt idx="4">
                  <c:v>Eco Pack Management SA</c:v>
                </c:pt>
                <c:pt idx="5">
                  <c:v>Next Eco Reciclyng SA</c:v>
                </c:pt>
                <c:pt idx="6">
                  <c:v>Project Advice SRL</c:v>
                </c:pt>
              </c:strCache>
            </c:strRef>
          </c:cat>
          <c:val>
            <c:numRef>
              <c:f>hiddenPage!$R$52:$R$58</c:f>
              <c:numCache>
                <c:formatCode>0%</c:formatCode>
                <c:ptCount val="7"/>
                <c:pt idx="0">
                  <c:v>0.60836556950281251</c:v>
                </c:pt>
                <c:pt idx="1">
                  <c:v>0.32795846302344855</c:v>
                </c:pt>
                <c:pt idx="2">
                  <c:v>5.7913983869375539E-2</c:v>
                </c:pt>
                <c:pt idx="3">
                  <c:v>5.7619836043635315E-3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hiddenPage!$Q$52:$Q$58</c15:f>
                <c15:dlblRangeCache>
                  <c:ptCount val="7"/>
                  <c:pt idx="0">
                    <c:v> 214,230,854 </c:v>
                  </c:pt>
                  <c:pt idx="1">
                    <c:v> 115,487,834 </c:v>
                  </c:pt>
                  <c:pt idx="2">
                    <c:v> 20,393,926 </c:v>
                  </c:pt>
                  <c:pt idx="3">
                    <c:v> 2,029,034 </c:v>
                  </c:pt>
                  <c:pt idx="4">
                    <c:v> -   </c:v>
                  </c:pt>
                  <c:pt idx="5">
                    <c:v> -   </c:v>
                  </c:pt>
                  <c:pt idx="6">
                    <c:v> -  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B321-42E8-A4DE-05D556074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axId val="989212016"/>
        <c:axId val="989210352"/>
      </c:barChart>
      <c:catAx>
        <c:axId val="9892120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989210352"/>
        <c:crosses val="autoZero"/>
        <c:auto val="1"/>
        <c:lblAlgn val="ctr"/>
        <c:lblOffset val="100"/>
        <c:noMultiLvlLbl val="0"/>
      </c:catAx>
      <c:valAx>
        <c:axId val="9892103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989212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ndara" panose="020E0502030303020204" pitchFamily="34" charset="0"/>
        </a:defRPr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hiddenPage!$A$1</c:f>
          <c:strCache>
            <c:ptCount val="1"/>
            <c:pt idx="0">
              <c:v>Active curente vs. Datorii curente</c:v>
            </c:pt>
          </c:strCache>
        </c:strRef>
      </c:tx>
      <c:layout>
        <c:manualLayout>
          <c:xMode val="edge"/>
          <c:yMode val="edge"/>
          <c:x val="0.66736379458469985"/>
          <c:y val="1.4362773391921749E-2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1575814682984529"/>
          <c:y val="0.11303977693424487"/>
          <c:w val="0.811863079615048"/>
          <c:h val="0.66846004422349148"/>
        </c:manualLayout>
      </c:layout>
      <c:lineChart>
        <c:grouping val="standard"/>
        <c:varyColors val="0"/>
        <c:ser>
          <c:idx val="0"/>
          <c:order val="0"/>
          <c:tx>
            <c:strRef>
              <c:f>hiddenPage!$A$4</c:f>
              <c:strCache>
                <c:ptCount val="1"/>
                <c:pt idx="0">
                  <c:v>Active curente</c:v>
                </c:pt>
              </c:strCache>
            </c:strRef>
          </c:tx>
          <c:spPr>
            <a:ln w="28575" cap="rnd">
              <a:solidFill>
                <a:srgbClr val="219EBC"/>
              </a:solidFill>
              <a:round/>
            </a:ln>
            <a:effectLst/>
          </c:spPr>
          <c:marker>
            <c:symbol val="none"/>
          </c:marker>
          <c:cat>
            <c:numRef>
              <c:f>hiddenPage!$B$3:$F$3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hiddenPage!$B$4:$F$4</c:f>
              <c:numCache>
                <c:formatCode>_-* #,##0_-;\-* #,##0_-;_-* "-"??_-;_-@_-</c:formatCode>
                <c:ptCount val="5"/>
                <c:pt idx="0">
                  <c:v>100619242.74018784</c:v>
                </c:pt>
                <c:pt idx="1">
                  <c:v>97641045.390308842</c:v>
                </c:pt>
                <c:pt idx="2">
                  <c:v>134454393.24675953</c:v>
                </c:pt>
                <c:pt idx="3">
                  <c:v>209568594</c:v>
                </c:pt>
                <c:pt idx="4">
                  <c:v>157796518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41-44B5-AFF6-41EB06D27B78}"/>
            </c:ext>
          </c:extLst>
        </c:ser>
        <c:ser>
          <c:idx val="1"/>
          <c:order val="1"/>
          <c:tx>
            <c:strRef>
              <c:f>hiddenPage!$A$5</c:f>
              <c:strCache>
                <c:ptCount val="1"/>
                <c:pt idx="0">
                  <c:v>Datorii curente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hiddenPage!$B$3:$F$3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hiddenPage!$B$5:$F$5</c:f>
              <c:numCache>
                <c:formatCode>_-* #,##0_-;\-* #,##0_-;_-* "-"??_-;_-@_-</c:formatCode>
                <c:ptCount val="5"/>
                <c:pt idx="0">
                  <c:v>103829238.30141784</c:v>
                </c:pt>
                <c:pt idx="1">
                  <c:v>93887746.841849849</c:v>
                </c:pt>
                <c:pt idx="2">
                  <c:v>130578926.71184984</c:v>
                </c:pt>
                <c:pt idx="3">
                  <c:v>147792245</c:v>
                </c:pt>
                <c:pt idx="4">
                  <c:v>114050832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41-44B5-AFF6-41EB06D27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972048"/>
        <c:axId val="608969424"/>
      </c:lineChart>
      <c:catAx>
        <c:axId val="60897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>
                    <a:lumMod val="50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08969424"/>
        <c:crosses val="autoZero"/>
        <c:auto val="1"/>
        <c:lblAlgn val="ctr"/>
        <c:lblOffset val="100"/>
        <c:noMultiLvlLbl val="0"/>
      </c:catAx>
      <c:valAx>
        <c:axId val="60896942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0897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49623012157207E-3"/>
          <c:y val="0.90972966142504075"/>
          <c:w val="0.99235037698784279"/>
          <c:h val="8.0790496371073689E-2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hiddenPage!$A$7</c:f>
          <c:strCache>
            <c:ptCount val="1"/>
            <c:pt idx="0">
              <c:v>Active pe termen lung vs. Active curente</c:v>
            </c:pt>
          </c:strCache>
        </c:strRef>
      </c:tx>
      <c:layout>
        <c:manualLayout>
          <c:xMode val="edge"/>
          <c:yMode val="edge"/>
          <c:x val="0.6320842206308489"/>
          <c:y val="1.3888883855327721E-2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1.9591794806854915E-2"/>
          <c:y val="0.15712743896531589"/>
          <c:w val="0.98040820519314509"/>
          <c:h val="0.622293855385034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hiddenPage!$A$10</c:f>
              <c:strCache>
                <c:ptCount val="1"/>
                <c:pt idx="0">
                  <c:v>Active pe termen lung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hiddenPage!$B$63</c:f>
                  <c:strCache>
                    <c:ptCount val="1"/>
                    <c:pt idx="0">
                      <c:v>66%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{B4CF88F6-9A6E-4EE7-8504-9547B2019A95}</c15:txfldGUID>
                      <c15:f>hiddenPage!$B$63</c15:f>
                      <c15:dlblFieldTableCache>
                        <c:ptCount val="1"/>
                        <c:pt idx="0">
                          <c:v>66%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0F6-401C-BAC7-D7103D1529C1}"/>
                </c:ext>
              </c:extLst>
            </c:dLbl>
            <c:dLbl>
              <c:idx val="1"/>
              <c:tx>
                <c:strRef>
                  <c:f>hiddenPage!$C$63</c:f>
                  <c:strCache>
                    <c:ptCount val="1"/>
                    <c:pt idx="0">
                      <c:v>65%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{C56BB41C-8828-438A-B800-041943341688}</c15:txfldGUID>
                      <c15:f>hiddenPage!$C$63</c15:f>
                      <c15:dlblFieldTableCache>
                        <c:ptCount val="1"/>
                        <c:pt idx="0">
                          <c:v>65%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0F6-401C-BAC7-D7103D1529C1}"/>
                </c:ext>
              </c:extLst>
            </c:dLbl>
            <c:dLbl>
              <c:idx val="2"/>
              <c:tx>
                <c:strRef>
                  <c:f>hiddenPage!$D$63</c:f>
                  <c:strCache>
                    <c:ptCount val="1"/>
                    <c:pt idx="0">
                      <c:v>55%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{01AA4425-8926-466B-BACA-D0F859993E3E}</c15:txfldGUID>
                      <c15:f>hiddenPage!$D$63</c15:f>
                      <c15:dlblFieldTableCache>
                        <c:ptCount val="1"/>
                        <c:pt idx="0">
                          <c:v>55%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0F6-401C-BAC7-D7103D1529C1}"/>
                </c:ext>
              </c:extLst>
            </c:dLbl>
            <c:dLbl>
              <c:idx val="3"/>
              <c:tx>
                <c:strRef>
                  <c:f>hiddenPage!$E$63</c:f>
                  <c:strCache>
                    <c:ptCount val="1"/>
                    <c:pt idx="0">
                      <c:v>39%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{E8E736A8-FDD7-41D5-A2B9-5D4A56759D66}</c15:txfldGUID>
                      <c15:f>hiddenPage!$E$63</c15:f>
                      <c15:dlblFieldTableCache>
                        <c:ptCount val="1"/>
                        <c:pt idx="0">
                          <c:v>39%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0F6-401C-BAC7-D7103D1529C1}"/>
                </c:ext>
              </c:extLst>
            </c:dLbl>
            <c:dLbl>
              <c:idx val="4"/>
              <c:tx>
                <c:strRef>
                  <c:f>hiddenPage!$F$63</c:f>
                  <c:strCache>
                    <c:ptCount val="1"/>
                    <c:pt idx="0">
                      <c:v>46%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{645BD2CF-22AE-495A-9DCB-D42F175793DE}</c15:txfldGUID>
                      <c15:f>hiddenPage!$F$63</c15:f>
                      <c15:dlblFieldTableCache>
                        <c:ptCount val="1"/>
                        <c:pt idx="0">
                          <c:v>46%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70F6-401C-BAC7-D7103D1529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hiddenPage!$B$9:$F$9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hiddenPage!$B$10:$F$10</c:f>
              <c:numCache>
                <c:formatCode>_-* #,##0_-;\-* #,##0_-;_-* "-"??_-;_-@_-</c:formatCode>
                <c:ptCount val="5"/>
                <c:pt idx="0">
                  <c:v>198403905.9006781</c:v>
                </c:pt>
                <c:pt idx="1">
                  <c:v>181875186.31763047</c:v>
                </c:pt>
                <c:pt idx="2">
                  <c:v>167356017.69694859</c:v>
                </c:pt>
                <c:pt idx="3">
                  <c:v>134542936</c:v>
                </c:pt>
                <c:pt idx="4">
                  <c:v>134774315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4-4242-B919-D95F59CFEF20}"/>
            </c:ext>
          </c:extLst>
        </c:ser>
        <c:ser>
          <c:idx val="1"/>
          <c:order val="1"/>
          <c:tx>
            <c:strRef>
              <c:f>hiddenPage!$A$11</c:f>
              <c:strCache>
                <c:ptCount val="1"/>
                <c:pt idx="0">
                  <c:v>Active curente</c:v>
                </c:pt>
              </c:strCache>
            </c:strRef>
          </c:tx>
          <c:spPr>
            <a:solidFill>
              <a:srgbClr val="219EBC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hiddenPage!$B$64</c:f>
                  <c:strCache>
                    <c:ptCount val="1"/>
                    <c:pt idx="0">
                      <c:v>34%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{77F6462D-9F03-4996-A43C-50AC8FC03A36}</c15:txfldGUID>
                      <c15:f>hiddenPage!$B$64</c15:f>
                      <c15:dlblFieldTableCache>
                        <c:ptCount val="1"/>
                        <c:pt idx="0">
                          <c:v>34%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70F6-401C-BAC7-D7103D1529C1}"/>
                </c:ext>
              </c:extLst>
            </c:dLbl>
            <c:dLbl>
              <c:idx val="1"/>
              <c:tx>
                <c:strRef>
                  <c:f>hiddenPage!$C$64</c:f>
                  <c:strCache>
                    <c:ptCount val="1"/>
                    <c:pt idx="0">
                      <c:v>35%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{441E5C4D-4A0C-4375-BB96-B3A3CF3FC6C1}</c15:txfldGUID>
                      <c15:f>hiddenPage!$C$64</c15:f>
                      <c15:dlblFieldTableCache>
                        <c:ptCount val="1"/>
                        <c:pt idx="0">
                          <c:v>35%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70F6-401C-BAC7-D7103D1529C1}"/>
                </c:ext>
              </c:extLst>
            </c:dLbl>
            <c:dLbl>
              <c:idx val="2"/>
              <c:tx>
                <c:strRef>
                  <c:f>hiddenPage!$D$64</c:f>
                  <c:strCache>
                    <c:ptCount val="1"/>
                    <c:pt idx="0">
                      <c:v>45%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{4EF2A41D-AC33-4C84-A343-1F30DB8619F7}</c15:txfldGUID>
                      <c15:f>hiddenPage!$D$64</c15:f>
                      <c15:dlblFieldTableCache>
                        <c:ptCount val="1"/>
                        <c:pt idx="0">
                          <c:v>45%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70F6-401C-BAC7-D7103D1529C1}"/>
                </c:ext>
              </c:extLst>
            </c:dLbl>
            <c:dLbl>
              <c:idx val="3"/>
              <c:tx>
                <c:strRef>
                  <c:f>hiddenPage!$E$64</c:f>
                  <c:strCache>
                    <c:ptCount val="1"/>
                    <c:pt idx="0">
                      <c:v>61%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{320F091E-480D-4041-979C-4A11474C2121}</c15:txfldGUID>
                      <c15:f>hiddenPage!$E$64</c15:f>
                      <c15:dlblFieldTableCache>
                        <c:ptCount val="1"/>
                        <c:pt idx="0">
                          <c:v>61%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70F6-401C-BAC7-D7103D1529C1}"/>
                </c:ext>
              </c:extLst>
            </c:dLbl>
            <c:dLbl>
              <c:idx val="4"/>
              <c:tx>
                <c:strRef>
                  <c:f>hiddenPage!$F$64</c:f>
                  <c:strCache>
                    <c:ptCount val="1"/>
                    <c:pt idx="0">
                      <c:v>54%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{F334CB3C-D946-417B-971D-AFCD566BC0FE}</c15:txfldGUID>
                      <c15:f>hiddenPage!$F$64</c15:f>
                      <c15:dlblFieldTableCache>
                        <c:ptCount val="1"/>
                        <c:pt idx="0">
                          <c:v>54%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70F6-401C-BAC7-D7103D1529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hiddenPage!$B$9:$F$9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hiddenPage!$B$11:$F$11</c:f>
              <c:numCache>
                <c:formatCode>_-* #,##0_-;\-* #,##0_-;_-* "-"??_-;_-@_-</c:formatCode>
                <c:ptCount val="5"/>
                <c:pt idx="0">
                  <c:v>100619242.74018784</c:v>
                </c:pt>
                <c:pt idx="1">
                  <c:v>97641045.390308842</c:v>
                </c:pt>
                <c:pt idx="2">
                  <c:v>134454393.24675953</c:v>
                </c:pt>
                <c:pt idx="3">
                  <c:v>209568594</c:v>
                </c:pt>
                <c:pt idx="4">
                  <c:v>157796518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14-4242-B919-D95F59CFE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617263200"/>
        <c:axId val="617269760"/>
      </c:barChart>
      <c:scatterChart>
        <c:scatterStyle val="lineMarker"/>
        <c:varyColors val="0"/>
        <c:ser>
          <c:idx val="2"/>
          <c:order val="2"/>
          <c:tx>
            <c:strRef>
              <c:f>hiddenPage!$A$66</c:f>
              <c:strCache>
                <c:ptCount val="1"/>
                <c:pt idx="0">
                  <c:v>Total Active</c:v>
                </c:pt>
              </c:strCache>
            </c:strRef>
          </c:tx>
          <c:spPr>
            <a:ln w="9525" cap="rnd">
              <a:solidFill>
                <a:schemeClr val="accent3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3">
                    <a:lumMod val="20000"/>
                    <a:lumOff val="8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hiddenPage!$B$12:$F$12</c:f>
              <c:numCache>
                <c:formatCode>_-* #,##0_-;\-* #,##0_-;_-* "-"??_-;_-@_-</c:formatCode>
                <c:ptCount val="5"/>
                <c:pt idx="0">
                  <c:v>299023148.64086592</c:v>
                </c:pt>
                <c:pt idx="1">
                  <c:v>279516231.70793933</c:v>
                </c:pt>
                <c:pt idx="2">
                  <c:v>301810410.94370812</c:v>
                </c:pt>
                <c:pt idx="3">
                  <c:v>344111530</c:v>
                </c:pt>
                <c:pt idx="4">
                  <c:v>292570833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0F6-401C-BAC7-D7103D152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263200"/>
        <c:axId val="617269760"/>
      </c:scatterChart>
      <c:catAx>
        <c:axId val="61726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17269760"/>
        <c:crosses val="autoZero"/>
        <c:auto val="1"/>
        <c:lblAlgn val="ctr"/>
        <c:lblOffset val="100"/>
        <c:noMultiLvlLbl val="0"/>
      </c:catAx>
      <c:valAx>
        <c:axId val="617269760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61726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959291102905424E-2"/>
          <c:y val="0.89776428988043167"/>
          <c:w val="0.96904068702342461"/>
          <c:h val="7.7670909233898841E-2"/>
        </c:manualLayout>
      </c:layout>
      <c:overlay val="0"/>
      <c:spPr>
        <a:solidFill>
          <a:srgbClr val="E1DFDF"/>
        </a:solidFill>
        <a:ln>
          <a:solidFill>
            <a:schemeClr val="bg1">
              <a:lumMod val="9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 sz="1000">
          <a:latin typeface="Candara" panose="020E0502030303020204" pitchFamily="34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hiddenPage!$D$32</c:f>
          <c:strCache>
            <c:ptCount val="1"/>
            <c:pt idx="0">
              <c:v>Evolutia indicatorului Total Activ in perioada 2019-2023</c:v>
            </c:pt>
          </c:strCache>
        </c:strRef>
      </c:tx>
      <c:layout>
        <c:manualLayout>
          <c:xMode val="edge"/>
          <c:yMode val="edge"/>
          <c:x val="7.6433489292099498E-3"/>
          <c:y val="1.3414945378561496E-2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815099735537803E-2"/>
          <c:y val="9.1945114303733588E-2"/>
          <c:w val="0.97184900264462193"/>
          <c:h val="0.79699198518648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hiddenPage!$B$41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hiddenPage!$A$42:$A$47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hiddenPage!$B$42:$B$47</c:f>
              <c:numCache>
                <c:formatCode>_-* #,##0\ _l_e_i_-;\-* #,##0\ _l_e_i_-;_-* "-"??\ _l_e_i_-;_-@_-</c:formatCode>
                <c:ptCount val="6"/>
                <c:pt idx="1">
                  <c:v>279516231.70793933</c:v>
                </c:pt>
                <c:pt idx="2">
                  <c:v>279516231.70793933</c:v>
                </c:pt>
                <c:pt idx="3">
                  <c:v>301810410.94370812</c:v>
                </c:pt>
                <c:pt idx="4">
                  <c:v>292570833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A-4267-ADC1-CDBB0FEC14C9}"/>
            </c:ext>
          </c:extLst>
        </c:ser>
        <c:ser>
          <c:idx val="1"/>
          <c:order val="1"/>
          <c:tx>
            <c:strRef>
              <c:f>hiddenPage!$C$41</c:f>
              <c:strCache>
                <c:ptCount val="1"/>
                <c:pt idx="0">
                  <c:v>End</c:v>
                </c:pt>
              </c:strCache>
            </c:strRef>
          </c:tx>
          <c:spPr>
            <a:solidFill>
              <a:srgbClr val="219EB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hiddenPage!$A$42:$A$47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hiddenPage!$C$42:$C$47</c:f>
              <c:numCache>
                <c:formatCode>_-* #,##0\ _l_e_i_-;\-* #,##0\ _l_e_i_-;_-* "-"??\ _l_e_i_-;_-@_-</c:formatCode>
                <c:ptCount val="6"/>
                <c:pt idx="5">
                  <c:v>292570833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8A-4267-ADC1-CDBB0FEC14C9}"/>
            </c:ext>
          </c:extLst>
        </c:ser>
        <c:ser>
          <c:idx val="2"/>
          <c:order val="2"/>
          <c:tx>
            <c:strRef>
              <c:f>hiddenPage!$D$41</c:f>
              <c:strCache>
                <c:ptCount val="1"/>
                <c:pt idx="0">
                  <c:v>Down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8.3333333333333332E-3"/>
                  <c:y val="-1.38888888888888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8A-4267-ADC1-CDBB0FEC14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hiddenPage!$A$42:$A$47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hiddenPage!$D$42:$D$47</c:f>
              <c:numCache>
                <c:formatCode>_-* #,##0\ _l_e_i_-;\-* #,##0\ _l_e_i_-;_-* "-"??\ _l_e_i_-;_-@_-</c:formatCode>
                <c:ptCount val="6"/>
                <c:pt idx="1">
                  <c:v>19506916.932926595</c:v>
                </c:pt>
                <c:pt idx="2">
                  <c:v>0</c:v>
                </c:pt>
                <c:pt idx="3">
                  <c:v>0</c:v>
                </c:pt>
                <c:pt idx="4">
                  <c:v>51540697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8A-4267-ADC1-CDBB0FEC14C9}"/>
            </c:ext>
          </c:extLst>
        </c:ser>
        <c:ser>
          <c:idx val="3"/>
          <c:order val="3"/>
          <c:tx>
            <c:strRef>
              <c:f>hiddenPage!$E$41</c:f>
              <c:strCache>
                <c:ptCount val="1"/>
                <c:pt idx="0">
                  <c:v>Up</c:v>
                </c:pt>
              </c:strCache>
            </c:strRef>
          </c:tx>
          <c:spPr>
            <a:solidFill>
              <a:srgbClr val="8BC167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2.1219040955771699E-3"/>
                  <c:y val="2.842750044953977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8A-4267-ADC1-CDBB0FEC14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hiddenPage!$A$42:$A$47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hiddenPage!$E$42:$E$47</c:f>
              <c:numCache>
                <c:formatCode>_-* #,##0\ _l_e_i_-;\-* #,##0\ _l_e_i_-;_-* "-"??\ _l_e_i_-;_-@_-</c:formatCode>
                <c:ptCount val="6"/>
                <c:pt idx="1">
                  <c:v>0</c:v>
                </c:pt>
                <c:pt idx="2">
                  <c:v>22294179.235768795</c:v>
                </c:pt>
                <c:pt idx="3">
                  <c:v>42301119.056291878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8A-4267-ADC1-CDBB0FEC14C9}"/>
            </c:ext>
          </c:extLst>
        </c:ser>
        <c:ser>
          <c:idx val="4"/>
          <c:order val="4"/>
          <c:tx>
            <c:strRef>
              <c:f>hiddenPage!$F$41</c:f>
              <c:strCache>
                <c:ptCount val="1"/>
                <c:pt idx="0">
                  <c:v>Start</c:v>
                </c:pt>
              </c:strCache>
            </c:strRef>
          </c:tx>
          <c:spPr>
            <a:solidFill>
              <a:srgbClr val="219EBC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19EB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68A-4267-ADC1-CDBB0FEC14C9}"/>
              </c:ext>
            </c:extLst>
          </c:dPt>
          <c:dLbls>
            <c:dLbl>
              <c:idx val="0"/>
              <c:layout>
                <c:manualLayout>
                  <c:x val="-2.7777777777777779E-3"/>
                  <c:y val="-7.40740740740740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8A-4267-ADC1-CDBB0FEC14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hiddenPage!$A$42:$A$47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hiddenPage!$F$42:$F$47</c:f>
              <c:numCache>
                <c:formatCode>General</c:formatCode>
                <c:ptCount val="6"/>
                <c:pt idx="0" formatCode="_-* #,##0_-;\-* #,##0_-;_-* &quot;-&quot;??_-;_-@_-">
                  <c:v>299023148.64086592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68A-4267-ADC1-CDBB0FEC14C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573463936"/>
        <c:axId val="573462624"/>
      </c:barChart>
      <c:catAx>
        <c:axId val="57346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73462624"/>
        <c:crosses val="autoZero"/>
        <c:auto val="1"/>
        <c:lblAlgn val="ctr"/>
        <c:lblOffset val="100"/>
        <c:noMultiLvlLbl val="0"/>
      </c:catAx>
      <c:valAx>
        <c:axId val="5734626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73463936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2">
        <a:lumMod val="90000"/>
      </a:schemeClr>
    </a:solidFill>
    <a:ln w="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hiddenPage!$A$13</c:f>
          <c:strCache>
            <c:ptCount val="1"/>
            <c:pt idx="0">
              <c:v>Structura indicatorului  Active curente in 2023</c:v>
            </c:pt>
          </c:strCache>
        </c:strRef>
      </c:tx>
      <c:layout>
        <c:manualLayout>
          <c:xMode val="edge"/>
          <c:yMode val="edge"/>
          <c:x val="0.33794243822970405"/>
          <c:y val="2.8933086731294019E-2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41225570396010486"/>
          <c:y val="0.23767695411295978"/>
          <c:w val="0.56332902065748913"/>
          <c:h val="0.583902344377393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19EBC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hiddenPage!$Q$16</c:f>
                  <c:strCache>
                    <c:ptCount val="1"/>
                    <c:pt idx="0">
                      <c:v> 60,437,183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{C0E987B3-7A0B-406E-8AE1-C0B27DE1E3BD}</c15:txfldGUID>
                      <c15:f>hiddenPage!$Q$16</c15:f>
                      <c15:dlblFieldTableCache>
                        <c:ptCount val="1"/>
                        <c:pt idx="0">
                          <c:v> 60,437,183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5C2-462E-9865-AECEF9265BA7}"/>
                </c:ext>
              </c:extLst>
            </c:dLbl>
            <c:dLbl>
              <c:idx val="1"/>
              <c:tx>
                <c:strRef>
                  <c:f>hiddenPage!$Q$17</c:f>
                  <c:strCache>
                    <c:ptCount val="1"/>
                    <c:pt idx="0">
                      <c:v> 59,716,567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{294FC580-B01B-4465-804C-E07932038D3C}</c15:txfldGUID>
                      <c15:f>hiddenPage!$Q$17</c15:f>
                      <c15:dlblFieldTableCache>
                        <c:ptCount val="1"/>
                        <c:pt idx="0">
                          <c:v> 59,716,567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5C2-462E-9865-AECEF9265BA7}"/>
                </c:ext>
              </c:extLst>
            </c:dLbl>
            <c:dLbl>
              <c:idx val="2"/>
              <c:tx>
                <c:strRef>
                  <c:f>hiddenPage!$Q$18</c:f>
                  <c:strCache>
                    <c:ptCount val="1"/>
                    <c:pt idx="0">
                      <c:v> 33,716,158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{4BC3135A-D5E3-4A0C-AD35-1105ECF4D2CE}</c15:txfldGUID>
                      <c15:f>hiddenPage!$Q$18</c15:f>
                      <c15:dlblFieldTableCache>
                        <c:ptCount val="1"/>
                        <c:pt idx="0">
                          <c:v> 33,716,158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5C2-462E-9865-AECEF9265BA7}"/>
                </c:ext>
              </c:extLst>
            </c:dLbl>
            <c:dLbl>
              <c:idx val="3"/>
              <c:tx>
                <c:strRef>
                  <c:f>hiddenPage!$Q$19</c:f>
                  <c:strCache>
                    <c:ptCount val="1"/>
                    <c:pt idx="0">
                      <c:v> 2,833,298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{4B7D831E-35B1-48E5-97B3-222331F65AA5}</c15:txfldGUID>
                      <c15:f>hiddenPage!$Q$19</c15:f>
                      <c15:dlblFieldTableCache>
                        <c:ptCount val="1"/>
                        <c:pt idx="0">
                          <c:v> 2,833,298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5C2-462E-9865-AECEF9265BA7}"/>
                </c:ext>
              </c:extLst>
            </c:dLbl>
            <c:dLbl>
              <c:idx val="4"/>
              <c:tx>
                <c:strRef>
                  <c:f>hiddenPage!$Q$20</c:f>
                  <c:strCache>
                    <c:ptCount val="1"/>
                    <c:pt idx="0">
                      <c:v> 1,093,312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{1905C808-DD93-4246-9292-78B727F0979F}</c15:txfldGUID>
                      <c15:f>hiddenPage!$Q$20</c15:f>
                      <c15:dlblFieldTableCache>
                        <c:ptCount val="1"/>
                        <c:pt idx="0">
                          <c:v> 1,093,312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75C2-462E-9865-AECEF9265BA7}"/>
                </c:ext>
              </c:extLst>
            </c:dLbl>
            <c:dLbl>
              <c:idx val="5"/>
              <c:tx>
                <c:strRef>
                  <c:f>hiddenPage!$Q$21</c:f>
                  <c:strCache>
                    <c:ptCount val="1"/>
                    <c:pt idx="0">
                      <c:v> -  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{338BDE88-C970-4271-B279-DD833D4F1D1C}</c15:txfldGUID>
                      <c15:f>hiddenPage!$Q$21</c15:f>
                      <c15:dlblFieldTableCache>
                        <c:ptCount val="1"/>
                        <c:pt idx="0">
                          <c:v> -  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75C2-462E-9865-AECEF9265B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hiddenPage!$N$16:$N$21</c:f>
              <c:strCache>
                <c:ptCount val="5"/>
                <c:pt idx="0">
                  <c:v>Creante comerciale si alte creante</c:v>
                </c:pt>
                <c:pt idx="1">
                  <c:v>Stocuri curente</c:v>
                </c:pt>
                <c:pt idx="2">
                  <c:v>Numerar şi conturi bancare</c:v>
                </c:pt>
                <c:pt idx="3">
                  <c:v>Alte active curente financiare </c:v>
                </c:pt>
                <c:pt idx="4">
                  <c:v>Alte active curente</c:v>
                </c:pt>
              </c:strCache>
            </c:strRef>
          </c:cat>
          <c:val>
            <c:numRef>
              <c:f>hiddenPage!$R$16:$R$21</c:f>
              <c:numCache>
                <c:formatCode>0%</c:formatCode>
                <c:ptCount val="6"/>
                <c:pt idx="0">
                  <c:v>0.38300707623979385</c:v>
                </c:pt>
                <c:pt idx="1">
                  <c:v>0.37844033415236705</c:v>
                </c:pt>
                <c:pt idx="2">
                  <c:v>0.21366858044358114</c:v>
                </c:pt>
                <c:pt idx="3">
                  <c:v>1.7955389864813112E-2</c:v>
                </c:pt>
                <c:pt idx="4">
                  <c:v>6.9286192994448713E-3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C2-462E-9865-AECEF9265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506901752"/>
        <c:axId val="506893224"/>
      </c:barChart>
      <c:catAx>
        <c:axId val="506901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06893224"/>
        <c:crosses val="autoZero"/>
        <c:auto val="1"/>
        <c:lblAlgn val="ctr"/>
        <c:lblOffset val="100"/>
        <c:noMultiLvlLbl val="0"/>
      </c:catAx>
      <c:valAx>
        <c:axId val="506893224"/>
        <c:scaling>
          <c:orientation val="minMax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06901752"/>
        <c:crosses val="autoZero"/>
        <c:crossBetween val="between"/>
      </c:valAx>
      <c:spPr>
        <a:solidFill>
          <a:schemeClr val="bg2">
            <a:lumMod val="7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strRef>
          <c:f>hiddenPage!$D$7</c:f>
          <c:strCache>
            <c:ptCount val="1"/>
            <c:pt idx="0">
              <c:v>2023 structura indicatorului Active</c:v>
            </c:pt>
          </c:strCache>
        </c:strRef>
      </c:tx>
      <c:layout>
        <c:manualLayout>
          <c:xMode val="edge"/>
          <c:yMode val="edge"/>
          <c:x val="0.48709715188947106"/>
          <c:y val="2.7309654930682936E-2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baseline="0">
              <a:solidFill>
                <a:schemeClr val="bg1">
                  <a:lumMod val="9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21235692418832419"/>
          <c:y val="0.12073162729658793"/>
          <c:w val="0.56212806210363619"/>
          <c:h val="0.8305479002624670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19EBC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8C6-4B01-9525-6B7F582722C2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8C6-4B01-9525-6B7F582722C2}"/>
              </c:ext>
            </c:extLst>
          </c:dPt>
          <c:dLbls>
            <c:dLbl>
              <c:idx val="0"/>
              <c:layout>
                <c:manualLayout>
                  <c:x val="-1.1431226765799257E-2"/>
                  <c:y val="3.17831341018743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bg2">
                          <a:lumMod val="25000"/>
                        </a:schemeClr>
                      </a:solidFill>
                      <a:latin typeface="Candara" panose="020E0502030303020204" pitchFamily="34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C6-4B01-9525-6B7F582722C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bg1"/>
                      </a:solidFill>
                      <a:latin typeface="Candara" panose="020E0502030303020204" pitchFamily="34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48C6-4B01-9525-6B7F582722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spc="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hiddenPage!$A$10:$A$11</c:f>
              <c:strCache>
                <c:ptCount val="2"/>
                <c:pt idx="0">
                  <c:v>Active pe termen lung</c:v>
                </c:pt>
                <c:pt idx="1">
                  <c:v>Active curente</c:v>
                </c:pt>
              </c:strCache>
            </c:strRef>
          </c:cat>
          <c:val>
            <c:numRef>
              <c:f>hiddenPage!$I$10:$I$11</c:f>
              <c:numCache>
                <c:formatCode>_-* #,##0_-;\-* #,##0_-;_-* "-"??_-;_-@_-</c:formatCode>
                <c:ptCount val="2"/>
                <c:pt idx="0">
                  <c:v>134774315</c:v>
                </c:pt>
                <c:pt idx="1">
                  <c:v>157796518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C6-4B01-9525-6B7F582722C2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2.Sit.Rezultatului Global'!A1"/><Relationship Id="rId7" Type="http://schemas.openxmlformats.org/officeDocument/2006/relationships/hyperlink" Target="#Grafice!A1"/><Relationship Id="rId2" Type="http://schemas.openxmlformats.org/officeDocument/2006/relationships/hyperlink" Target="#'1.Pozitia financiara'!A1"/><Relationship Id="rId1" Type="http://schemas.openxmlformats.org/officeDocument/2006/relationships/hyperlink" Target="#Snapshots!A1"/><Relationship Id="rId6" Type="http://schemas.openxmlformats.org/officeDocument/2006/relationships/chart" Target="../charts/chart1.xml"/><Relationship Id="rId5" Type="http://schemas.openxmlformats.org/officeDocument/2006/relationships/hyperlink" Target="#'4.Indicatori financiari'!A1"/><Relationship Id="rId4" Type="http://schemas.openxmlformats.org/officeDocument/2006/relationships/hyperlink" Target="#'3.Sit. fluxurilor de numerar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uprin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uprins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hyperlink" Target="#Cuprins!A1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338666</xdr:colOff>
      <xdr:row>0</xdr:row>
      <xdr:rowOff>123825</xdr:rowOff>
    </xdr:from>
    <xdr:to>
      <xdr:col>19</xdr:col>
      <xdr:colOff>600074</xdr:colOff>
      <xdr:row>4</xdr:row>
      <xdr:rowOff>76200</xdr:rowOff>
    </xdr:to>
    <xdr:sp macro="" textlink="">
      <xdr:nvSpPr>
        <xdr:cNvPr id="9" name="Title 1">
          <a:extLst>
            <a:ext uri="{FF2B5EF4-FFF2-40B4-BE49-F238E27FC236}">
              <a16:creationId xmlns:a16="http://schemas.microsoft.com/office/drawing/2014/main" id="{30E4A61E-EE59-45FF-BA59-CE32CE3A4C7F}"/>
            </a:ext>
          </a:extLst>
        </xdr:cNvPr>
        <xdr:cNvSpPr>
          <a:spLocks noGrp="1"/>
        </xdr:cNvSpPr>
      </xdr:nvSpPr>
      <xdr:spPr>
        <a:xfrm>
          <a:off x="3926416" y="123825"/>
          <a:ext cx="6061075" cy="714375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="horz" wrap="square" lIns="91440" tIns="45720" rIns="91440" bIns="45720" rtlCol="0" anchor="ctr">
          <a:normAutofit/>
        </a:bodyPr>
        <a:lstStyle>
          <a:lvl1pPr algn="l" defTabSz="685800" rtl="0" eaLnBrk="1" latinLnBrk="0" hangingPunct="1">
            <a:lnSpc>
              <a:spcPct val="90000"/>
            </a:lnSpc>
            <a:spcBef>
              <a:spcPct val="0"/>
            </a:spcBef>
            <a:buNone/>
            <a:defRPr sz="33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en-US" sz="2800" b="1">
              <a:ln>
                <a:solidFill>
                  <a:schemeClr val="tx2">
                    <a:lumMod val="50000"/>
                  </a:schemeClr>
                </a:solidFill>
              </a:ln>
              <a:solidFill>
                <a:srgbClr val="219EBC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andara" panose="020E0502030303020204" pitchFamily="34" charset="0"/>
            </a:rPr>
            <a:t>CUPRINS</a:t>
          </a:r>
        </a:p>
      </xdr:txBody>
    </xdr:sp>
    <xdr:clientData/>
  </xdr:twoCellAnchor>
  <xdr:twoCellAnchor>
    <xdr:from>
      <xdr:col>20</xdr:col>
      <xdr:colOff>250823</xdr:colOff>
      <xdr:row>6</xdr:row>
      <xdr:rowOff>165100</xdr:rowOff>
    </xdr:from>
    <xdr:to>
      <xdr:col>23</xdr:col>
      <xdr:colOff>169023</xdr:colOff>
      <xdr:row>9</xdr:row>
      <xdr:rowOff>17167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0DAE45-A9A8-4312-ABDB-3A45DB62C517}"/>
            </a:ext>
          </a:extLst>
        </xdr:cNvPr>
        <xdr:cNvSpPr/>
      </xdr:nvSpPr>
      <xdr:spPr>
        <a:xfrm>
          <a:off x="11790890" y="1113367"/>
          <a:ext cx="1620000" cy="504000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INDICATORI CHEIE</a:t>
          </a:r>
        </a:p>
      </xdr:txBody>
    </xdr:sp>
    <xdr:clientData/>
  </xdr:twoCellAnchor>
  <xdr:twoCellAnchor>
    <xdr:from>
      <xdr:col>20</xdr:col>
      <xdr:colOff>250823</xdr:colOff>
      <xdr:row>9</xdr:row>
      <xdr:rowOff>98770</xdr:rowOff>
    </xdr:from>
    <xdr:to>
      <xdr:col>23</xdr:col>
      <xdr:colOff>169023</xdr:colOff>
      <xdr:row>11</xdr:row>
      <xdr:rowOff>149804</xdr:rowOff>
    </xdr:to>
    <xdr:sp macro="" textlink="">
      <xdr:nvSpPr>
        <xdr:cNvPr id="8" name="Rectangle: Rounded Corner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F8F312-05FC-45EC-919F-81B74F0BBF5B}"/>
            </a:ext>
          </a:extLst>
        </xdr:cNvPr>
        <xdr:cNvSpPr/>
      </xdr:nvSpPr>
      <xdr:spPr>
        <a:xfrm>
          <a:off x="11977156" y="1693326"/>
          <a:ext cx="1646811" cy="516700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POZITIA FINANCIARA</a:t>
          </a:r>
        </a:p>
      </xdr:txBody>
    </xdr:sp>
    <xdr:clientData/>
  </xdr:twoCellAnchor>
  <xdr:twoCellAnchor>
    <xdr:from>
      <xdr:col>20</xdr:col>
      <xdr:colOff>250823</xdr:colOff>
      <xdr:row>11</xdr:row>
      <xdr:rowOff>216246</xdr:rowOff>
    </xdr:from>
    <xdr:to>
      <xdr:col>23</xdr:col>
      <xdr:colOff>169023</xdr:colOff>
      <xdr:row>14</xdr:row>
      <xdr:rowOff>30213</xdr:rowOff>
    </xdr:to>
    <xdr:sp macro="" textlink="">
      <xdr:nvSpPr>
        <xdr:cNvPr id="11" name="Rectangle: Rounded Corners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6C9ED3-5663-4DB8-B52A-6FC03136AB92}"/>
            </a:ext>
          </a:extLst>
        </xdr:cNvPr>
        <xdr:cNvSpPr/>
      </xdr:nvSpPr>
      <xdr:spPr>
        <a:xfrm>
          <a:off x="11977156" y="2276468"/>
          <a:ext cx="1646811" cy="512467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REZULTATUL GLOBAL</a:t>
          </a:r>
        </a:p>
      </xdr:txBody>
    </xdr:sp>
    <xdr:clientData/>
  </xdr:twoCellAnchor>
  <xdr:twoCellAnchor>
    <xdr:from>
      <xdr:col>20</xdr:col>
      <xdr:colOff>250823</xdr:colOff>
      <xdr:row>14</xdr:row>
      <xdr:rowOff>90304</xdr:rowOff>
    </xdr:from>
    <xdr:to>
      <xdr:col>23</xdr:col>
      <xdr:colOff>169023</xdr:colOff>
      <xdr:row>16</xdr:row>
      <xdr:rowOff>124403</xdr:rowOff>
    </xdr:to>
    <xdr:sp macro="" textlink="">
      <xdr:nvSpPr>
        <xdr:cNvPr id="12" name="Rectangle: Rounded Corners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8AA3E13-CC9A-487B-AB12-2C4DF279077F}"/>
            </a:ext>
          </a:extLst>
        </xdr:cNvPr>
        <xdr:cNvSpPr/>
      </xdr:nvSpPr>
      <xdr:spPr>
        <a:xfrm>
          <a:off x="11977156" y="2849026"/>
          <a:ext cx="1646811" cy="499766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CASH FLOW</a:t>
          </a:r>
        </a:p>
      </xdr:txBody>
    </xdr:sp>
    <xdr:clientData/>
  </xdr:twoCellAnchor>
  <xdr:twoCellAnchor>
    <xdr:from>
      <xdr:col>20</xdr:col>
      <xdr:colOff>250823</xdr:colOff>
      <xdr:row>16</xdr:row>
      <xdr:rowOff>194019</xdr:rowOff>
    </xdr:from>
    <xdr:to>
      <xdr:col>23</xdr:col>
      <xdr:colOff>169023</xdr:colOff>
      <xdr:row>19</xdr:row>
      <xdr:rowOff>71486</xdr:rowOff>
    </xdr:to>
    <xdr:sp macro="" textlink="">
      <xdr:nvSpPr>
        <xdr:cNvPr id="13" name="Rectangle: Rounded Corners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EBD86A7-2DB3-44FD-843E-2F3C37F5A2EE}"/>
            </a:ext>
          </a:extLst>
        </xdr:cNvPr>
        <xdr:cNvSpPr/>
      </xdr:nvSpPr>
      <xdr:spPr>
        <a:xfrm>
          <a:off x="11977156" y="3418408"/>
          <a:ext cx="1646811" cy="491300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INDICATORI FINANCIARI</a:t>
          </a:r>
        </a:p>
      </xdr:txBody>
    </xdr:sp>
    <xdr:clientData/>
  </xdr:twoCellAnchor>
  <xdr:twoCellAnchor>
    <xdr:from>
      <xdr:col>6</xdr:col>
      <xdr:colOff>228601</xdr:colOff>
      <xdr:row>9</xdr:row>
      <xdr:rowOff>84667</xdr:rowOff>
    </xdr:from>
    <xdr:to>
      <xdr:col>19</xdr:col>
      <xdr:colOff>603250</xdr:colOff>
      <xdr:row>20</xdr:row>
      <xdr:rowOff>126999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4B538D89-7D1F-4FC4-BC66-E2A7A244C8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250823</xdr:colOff>
      <xdr:row>19</xdr:row>
      <xdr:rowOff>147454</xdr:rowOff>
    </xdr:from>
    <xdr:to>
      <xdr:col>23</xdr:col>
      <xdr:colOff>169023</xdr:colOff>
      <xdr:row>22</xdr:row>
      <xdr:rowOff>65843</xdr:rowOff>
    </xdr:to>
    <xdr:sp macro="" textlink="">
      <xdr:nvSpPr>
        <xdr:cNvPr id="14" name="Rectangle: Rounded Corners 1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9237CBE-DE8F-4D0E-8544-86F0D27F8950}"/>
            </a:ext>
          </a:extLst>
        </xdr:cNvPr>
        <xdr:cNvSpPr/>
      </xdr:nvSpPr>
      <xdr:spPr>
        <a:xfrm>
          <a:off x="11977156" y="3985676"/>
          <a:ext cx="1646811" cy="489889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GRAFICE INTERACTIVE</a:t>
          </a:r>
        </a:p>
      </xdr:txBody>
    </xdr:sp>
    <xdr:clientData/>
  </xdr:twoCellAnchor>
  <xdr:twoCellAnchor editAs="oneCell">
    <xdr:from>
      <xdr:col>15</xdr:col>
      <xdr:colOff>531283</xdr:colOff>
      <xdr:row>1</xdr:row>
      <xdr:rowOff>39159</xdr:rowOff>
    </xdr:from>
    <xdr:to>
      <xdr:col>19</xdr:col>
      <xdr:colOff>414867</xdr:colOff>
      <xdr:row>3</xdr:row>
      <xdr:rowOff>169121</xdr:rowOff>
    </xdr:to>
    <xdr:pic>
      <xdr:nvPicPr>
        <xdr:cNvPr id="15" name="Imagine 1" descr="O imagine care conține text&#10;&#10;Descriere generată automat">
          <a:extLst>
            <a:ext uri="{FF2B5EF4-FFF2-40B4-BE49-F238E27FC236}">
              <a16:creationId xmlns:a16="http://schemas.microsoft.com/office/drawing/2014/main" id="{18B5C65E-CF55-4327-B9A2-E08C87257B19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2216" y="233892"/>
          <a:ext cx="2135717" cy="502496"/>
        </a:xfrm>
        <a:prstGeom prst="rect">
          <a:avLst/>
        </a:prstGeom>
      </xdr:spPr>
    </xdr:pic>
    <xdr:clientData/>
  </xdr:twoCellAnchor>
  <xdr:twoCellAnchor>
    <xdr:from>
      <xdr:col>5</xdr:col>
      <xdr:colOff>314959</xdr:colOff>
      <xdr:row>0</xdr:row>
      <xdr:rowOff>83820</xdr:rowOff>
    </xdr:from>
    <xdr:to>
      <xdr:col>5</xdr:col>
      <xdr:colOff>558799</xdr:colOff>
      <xdr:row>33</xdr:row>
      <xdr:rowOff>32172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BFDEBCE2-7C7F-4AE3-80D1-7CBD29745CB4}"/>
            </a:ext>
          </a:extLst>
        </xdr:cNvPr>
        <xdr:cNvSpPr/>
      </xdr:nvSpPr>
      <xdr:spPr>
        <a:xfrm>
          <a:off x="3786292" y="83820"/>
          <a:ext cx="243840" cy="6374552"/>
        </a:xfrm>
        <a:prstGeom prst="rect">
          <a:avLst/>
        </a:prstGeom>
        <a:solidFill>
          <a:srgbClr val="3BBED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  <xdr:twoCellAnchor>
    <xdr:from>
      <xdr:col>4</xdr:col>
      <xdr:colOff>101600</xdr:colOff>
      <xdr:row>0</xdr:row>
      <xdr:rowOff>87207</xdr:rowOff>
    </xdr:from>
    <xdr:to>
      <xdr:col>4</xdr:col>
      <xdr:colOff>507999</xdr:colOff>
      <xdr:row>33</xdr:row>
      <xdr:rowOff>35559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30401F79-7A93-4A82-BF7C-4E8E84DE6EAB}"/>
            </a:ext>
          </a:extLst>
        </xdr:cNvPr>
        <xdr:cNvSpPr/>
      </xdr:nvSpPr>
      <xdr:spPr>
        <a:xfrm>
          <a:off x="2946400" y="87207"/>
          <a:ext cx="406399" cy="6374552"/>
        </a:xfrm>
        <a:prstGeom prst="rect">
          <a:avLst/>
        </a:prstGeom>
        <a:solidFill>
          <a:srgbClr val="219EB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  <xdr:twoCellAnchor>
    <xdr:from>
      <xdr:col>4</xdr:col>
      <xdr:colOff>574040</xdr:colOff>
      <xdr:row>0</xdr:row>
      <xdr:rowOff>76200</xdr:rowOff>
    </xdr:from>
    <xdr:to>
      <xdr:col>5</xdr:col>
      <xdr:colOff>267547</xdr:colOff>
      <xdr:row>33</xdr:row>
      <xdr:rowOff>24552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D7E192F6-48FC-41A6-882E-5610686ACBCA}"/>
            </a:ext>
          </a:extLst>
        </xdr:cNvPr>
        <xdr:cNvSpPr/>
      </xdr:nvSpPr>
      <xdr:spPr>
        <a:xfrm>
          <a:off x="3418840" y="76200"/>
          <a:ext cx="320040" cy="6374552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213360</xdr:colOff>
      <xdr:row>1</xdr:row>
      <xdr:rowOff>76200</xdr:rowOff>
    </xdr:from>
    <xdr:to>
      <xdr:col>8</xdr:col>
      <xdr:colOff>518795</xdr:colOff>
      <xdr:row>2</xdr:row>
      <xdr:rowOff>223520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798354-B476-41BC-9DED-30D13CE9E817}"/>
            </a:ext>
          </a:extLst>
        </xdr:cNvPr>
        <xdr:cNvSpPr/>
      </xdr:nvSpPr>
      <xdr:spPr>
        <a:xfrm>
          <a:off x="5951220" y="259080"/>
          <a:ext cx="930275" cy="254000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281783</xdr:colOff>
      <xdr:row>1</xdr:row>
      <xdr:rowOff>13493</xdr:rowOff>
    </xdr:from>
    <xdr:to>
      <xdr:col>21</xdr:col>
      <xdr:colOff>468312</xdr:colOff>
      <xdr:row>20</xdr:row>
      <xdr:rowOff>-1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80D8AFFB-FFCA-4932-BCFB-DDDE077C6BC9}"/>
            </a:ext>
          </a:extLst>
        </xdr:cNvPr>
        <xdr:cNvGrpSpPr/>
      </xdr:nvGrpSpPr>
      <xdr:grpSpPr>
        <a:xfrm>
          <a:off x="9641418" y="205316"/>
          <a:ext cx="5491425" cy="3875881"/>
          <a:chOff x="2432844" y="2093119"/>
          <a:chExt cx="4572000" cy="2978944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7FD0D4FA-D8D1-4F58-9B84-90658263DC3B}"/>
              </a:ext>
            </a:extLst>
          </xdr:cNvPr>
          <xdr:cNvGraphicFramePr/>
        </xdr:nvGraphicFramePr>
        <xdr:xfrm>
          <a:off x="2432844" y="2093119"/>
          <a:ext cx="4572000" cy="29789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D9F7EA09-339F-4D91-8CF3-766F693665ED}"/>
              </a:ext>
            </a:extLst>
          </xdr:cNvPr>
          <xdr:cNvCxnSpPr/>
        </xdr:nvCxnSpPr>
        <xdr:spPr>
          <a:xfrm>
            <a:off x="2897186" y="2677928"/>
            <a:ext cx="3714752" cy="0"/>
          </a:xfrm>
          <a:prstGeom prst="straightConnector1">
            <a:avLst/>
          </a:prstGeom>
          <a:ln>
            <a:solidFill>
              <a:schemeClr val="bg2">
                <a:lumMod val="25000"/>
              </a:schemeClr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S$4">
        <xdr:nvSpPr>
          <xdr:cNvPr id="5" name="Oval 4">
            <a:extLst>
              <a:ext uri="{FF2B5EF4-FFF2-40B4-BE49-F238E27FC236}">
                <a16:creationId xmlns:a16="http://schemas.microsoft.com/office/drawing/2014/main" id="{F934A9C9-0810-404B-BE83-9B9A2C552AD1}"/>
              </a:ext>
            </a:extLst>
          </xdr:cNvPr>
          <xdr:cNvSpPr/>
        </xdr:nvSpPr>
        <xdr:spPr>
          <a:xfrm>
            <a:off x="4429973" y="2479491"/>
            <a:ext cx="609600" cy="406012"/>
          </a:xfrm>
          <a:prstGeom prst="ellipse">
            <a:avLst/>
          </a:prstGeom>
          <a:solidFill>
            <a:schemeClr val="bg2">
              <a:lumMod val="90000"/>
            </a:schemeClr>
          </a:solidFill>
          <a:ln>
            <a:solidFill>
              <a:srgbClr val="219EB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54B6A17E-00E6-41E2-BBB0-D1E6D1A8FA65}" type="TxLink">
              <a:rPr lang="en-US" sz="1000" b="0" i="0" u="none" strike="noStrike">
                <a:solidFill>
                  <a:srgbClr val="000000"/>
                </a:solidFill>
                <a:latin typeface="Candara" panose="020E0502030303020204" pitchFamily="34" charset="0"/>
                <a:cs typeface="Calibri"/>
              </a:rPr>
              <a:pPr algn="ctr"/>
              <a:t>23%</a:t>
            </a:fld>
            <a:endParaRPr lang="ro-RO" sz="1000">
              <a:latin typeface="Candara" panose="020E0502030303020204" pitchFamily="34" charset="0"/>
            </a:endParaRPr>
          </a:p>
        </xdr:txBody>
      </xdr:sp>
    </xdr:grpSp>
    <xdr:clientData/>
  </xdr:twoCellAnchor>
  <xdr:twoCellAnchor>
    <xdr:from>
      <xdr:col>21</xdr:col>
      <xdr:colOff>611187</xdr:colOff>
      <xdr:row>1</xdr:row>
      <xdr:rowOff>103187</xdr:rowOff>
    </xdr:from>
    <xdr:to>
      <xdr:col>23</xdr:col>
      <xdr:colOff>287337</xdr:colOff>
      <xdr:row>2</xdr:row>
      <xdr:rowOff>166687</xdr:rowOff>
    </xdr:to>
    <xdr:sp macro="" textlink="">
      <xdr:nvSpPr>
        <xdr:cNvPr id="6" name="Rectangle: Rounded Corner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C82EA5-45C8-46BB-99F2-D97ABCDEB249}"/>
            </a:ext>
          </a:extLst>
        </xdr:cNvPr>
        <xdr:cNvSpPr/>
      </xdr:nvSpPr>
      <xdr:spPr>
        <a:xfrm>
          <a:off x="12795250" y="293687"/>
          <a:ext cx="930275" cy="254000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0</xdr:row>
      <xdr:rowOff>60960</xdr:rowOff>
    </xdr:from>
    <xdr:to>
      <xdr:col>1</xdr:col>
      <xdr:colOff>945515</xdr:colOff>
      <xdr:row>1</xdr:row>
      <xdr:rowOff>132080</xdr:rowOff>
    </xdr:to>
    <xdr:sp macro="" textlink="">
      <xdr:nvSpPr>
        <xdr:cNvPr id="5" name="Rectangle: Rounded Corner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C65157-3041-49FE-B4F2-7F2C84C11177}"/>
            </a:ext>
          </a:extLst>
        </xdr:cNvPr>
        <xdr:cNvSpPr/>
      </xdr:nvSpPr>
      <xdr:spPr>
        <a:xfrm>
          <a:off x="190500" y="60960"/>
          <a:ext cx="930275" cy="254000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847</xdr:colOff>
      <xdr:row>30</xdr:row>
      <xdr:rowOff>124883</xdr:rowOff>
    </xdr:from>
    <xdr:to>
      <xdr:col>24</xdr:col>
      <xdr:colOff>479778</xdr:colOff>
      <xdr:row>45</xdr:row>
      <xdr:rowOff>705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E50C5E2-50B5-4911-8220-AEBD51881D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371475</xdr:colOff>
      <xdr:row>2</xdr:row>
      <xdr:rowOff>254000</xdr:rowOff>
    </xdr:to>
    <xdr:sp macro="" textlink="">
      <xdr:nvSpPr>
        <xdr:cNvPr id="4" name="Rectangle: Rounded Corner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AF411E-2C9C-4689-A998-883135374F6B}"/>
            </a:ext>
          </a:extLst>
        </xdr:cNvPr>
        <xdr:cNvSpPr/>
      </xdr:nvSpPr>
      <xdr:spPr>
        <a:xfrm>
          <a:off x="9381067" y="381000"/>
          <a:ext cx="930275" cy="254000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0.04074</cdr:x>
      <cdr:y>0.83025</cdr:y>
    </cdr:from>
    <cdr:to>
      <cdr:x>0.3841</cdr:x>
      <cdr:y>0.83025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729F7994-6298-4AE1-82BB-A496BE3E73DD}"/>
            </a:ext>
          </a:extLst>
        </cdr:cNvPr>
        <cdr:cNvCxnSpPr/>
      </cdr:nvCxnSpPr>
      <cdr:spPr>
        <a:xfrm xmlns:a="http://schemas.openxmlformats.org/drawingml/2006/main">
          <a:off x="186267" y="2277534"/>
          <a:ext cx="1569840" cy="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219EB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0.03333</cdr:x>
      <cdr:y>0.84877</cdr:y>
    </cdr:from>
    <cdr:to>
      <cdr:x>0.49687</cdr:x>
      <cdr:y>0.94889</cdr:y>
    </cdr:to>
    <cdr:sp macro="" textlink="hiddenPage!$Q$60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97C2BD81-6460-4180-B154-49BB6FBE5696}"/>
            </a:ext>
          </a:extLst>
        </cdr:cNvPr>
        <cdr:cNvSpPr/>
      </cdr:nvSpPr>
      <cdr:spPr>
        <a:xfrm xmlns:a="http://schemas.openxmlformats.org/drawingml/2006/main">
          <a:off x="152400" y="2328334"/>
          <a:ext cx="2119281" cy="274659"/>
        </a:xfrm>
        <a:prstGeom xmlns:a="http://schemas.openxmlformats.org/drawingml/2006/main" prst="rect">
          <a:avLst/>
        </a:prstGeom>
        <a:solidFill xmlns:a="http://schemas.openxmlformats.org/drawingml/2006/main">
          <a:srgbClr val="219EBC"/>
        </a:solidFill>
        <a:ln xmlns:a="http://schemas.openxmlformats.org/drawingml/2006/main">
          <a:solidFill>
            <a:schemeClr val="accent6">
              <a:lumMod val="40000"/>
              <a:lumOff val="6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7011C7FA-7499-4A81-87C1-127E80FC032E}" type="TxLink">
            <a:rPr lang="en-US" sz="1100" b="0" i="0" u="none" strike="noStrike">
              <a:solidFill>
                <a:srgbClr val="000000"/>
              </a:solidFill>
              <a:latin typeface="Candara"/>
            </a:rPr>
            <a:pPr algn="l"/>
            <a:t>Total Venituri : 352,141,648  lei</a:t>
          </a:fld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139700</xdr:colOff>
      <xdr:row>1</xdr:row>
      <xdr:rowOff>0</xdr:rowOff>
    </xdr:from>
    <xdr:to>
      <xdr:col>7</xdr:col>
      <xdr:colOff>450850</xdr:colOff>
      <xdr:row>2</xdr:row>
      <xdr:rowOff>7673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ED32C1-224C-4B1E-9AD6-1C785C384921}"/>
            </a:ext>
          </a:extLst>
        </xdr:cNvPr>
        <xdr:cNvSpPr/>
      </xdr:nvSpPr>
      <xdr:spPr>
        <a:xfrm>
          <a:off x="14020800" y="234950"/>
          <a:ext cx="946150" cy="255323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10</xdr:col>
      <xdr:colOff>305435</xdr:colOff>
      <xdr:row>3</xdr:row>
      <xdr:rowOff>17780</xdr:rowOff>
    </xdr:to>
    <xdr:sp macro="" textlink="">
      <xdr:nvSpPr>
        <xdr:cNvPr id="4" name="Rectangle: Rounded Corner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7C7309-09A1-463A-BAA3-29A1A9AAA28C}"/>
            </a:ext>
          </a:extLst>
        </xdr:cNvPr>
        <xdr:cNvSpPr/>
      </xdr:nvSpPr>
      <xdr:spPr>
        <a:xfrm>
          <a:off x="9692640" y="373380"/>
          <a:ext cx="930275" cy="254000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1162</xdr:colOff>
      <xdr:row>3</xdr:row>
      <xdr:rowOff>52619</xdr:rowOff>
    </xdr:from>
    <xdr:to>
      <xdr:col>7</xdr:col>
      <xdr:colOff>477412</xdr:colOff>
      <xdr:row>17</xdr:row>
      <xdr:rowOff>149457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D8FBFA-3C40-4BCF-A853-015D6F7565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34847</xdr:colOff>
      <xdr:row>2</xdr:row>
      <xdr:rowOff>98241</xdr:rowOff>
    </xdr:from>
    <xdr:to>
      <xdr:col>16</xdr:col>
      <xdr:colOff>119230</xdr:colOff>
      <xdr:row>18</xdr:row>
      <xdr:rowOff>4644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D16D11D-85A4-457E-9BDB-C75A67B1D9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517777</xdr:colOff>
      <xdr:row>21</xdr:row>
      <xdr:rowOff>81835</xdr:rowOff>
    </xdr:from>
    <xdr:to>
      <xdr:col>23</xdr:col>
      <xdr:colOff>348475</xdr:colOff>
      <xdr:row>36</xdr:row>
      <xdr:rowOff>28866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12D5C9EC-9367-462A-A782-7D2F4E65FD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588690</xdr:colOff>
      <xdr:row>21</xdr:row>
      <xdr:rowOff>84215</xdr:rowOff>
    </xdr:from>
    <xdr:to>
      <xdr:col>12</xdr:col>
      <xdr:colOff>267164</xdr:colOff>
      <xdr:row>36</xdr:row>
      <xdr:rowOff>23232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3FF98DAD-3B59-4FDB-9787-C979A260FA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230830</xdr:colOff>
      <xdr:row>2</xdr:row>
      <xdr:rowOff>90510</xdr:rowOff>
    </xdr:from>
    <xdr:to>
      <xdr:col>23</xdr:col>
      <xdr:colOff>343829</xdr:colOff>
      <xdr:row>18</xdr:row>
      <xdr:rowOff>27878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9D87115-233D-4AC4-8F90-29597E03E3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307665</xdr:colOff>
      <xdr:row>2</xdr:row>
      <xdr:rowOff>68147</xdr:rowOff>
    </xdr:to>
    <xdr:sp macro="" textlink="">
      <xdr:nvSpPr>
        <xdr:cNvPr id="9" name="Rectangle: Rounded Corner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9E3B5B8-7C2B-4452-8EE9-9B57DAEF44BC}"/>
            </a:ext>
          </a:extLst>
        </xdr:cNvPr>
        <xdr:cNvSpPr/>
      </xdr:nvSpPr>
      <xdr:spPr>
        <a:xfrm>
          <a:off x="14673146" y="102220"/>
          <a:ext cx="930275" cy="254000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0.33012</cdr:x>
      <cdr:y>0.85533</cdr:y>
    </cdr:from>
    <cdr:to>
      <cdr:x>0.57322</cdr:x>
      <cdr:y>0.9349</cdr:y>
    </cdr:to>
    <cdr:sp macro="" textlink="hiddenPage!$N$23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239357C1-CB08-426B-A395-39008F9F3DD1}"/>
            </a:ext>
          </a:extLst>
        </cdr:cNvPr>
        <cdr:cNvSpPr/>
      </cdr:nvSpPr>
      <cdr:spPr>
        <a:xfrm xmlns:a="http://schemas.openxmlformats.org/drawingml/2006/main">
          <a:off x="2459444" y="2332333"/>
          <a:ext cx="1811127" cy="216973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fld id="{A30024D5-E9B9-4590-B6E9-99EBCADEAB94}" type="TxLink">
            <a:rPr lang="en-US" sz="1100" b="0" i="0" u="none" strike="noStrike">
              <a:solidFill>
                <a:schemeClr val="bg1"/>
              </a:solidFill>
              <a:latin typeface="Candara"/>
            </a:rPr>
            <a:pPr/>
            <a:t>Total  : 157,796,518 lei</a:t>
          </a:fld>
          <a:endParaRPr lang="en-US" sz="1050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omcarbon.com/EN" TargetMode="External"/><Relationship Id="rId2" Type="http://schemas.openxmlformats.org/officeDocument/2006/relationships/hyperlink" Target="mailto:investor.relations@romcarbon.com" TargetMode="External"/><Relationship Id="rId1" Type="http://schemas.openxmlformats.org/officeDocument/2006/relationships/hyperlink" Target="http://www.romcarbon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19EBC"/>
  </sheetPr>
  <dimension ref="A1:T31"/>
  <sheetViews>
    <sheetView showGridLines="0" tabSelected="1" zoomScale="90" zoomScaleNormal="90" workbookViewId="0">
      <selection activeCell="AA24" sqref="AA24"/>
    </sheetView>
  </sheetViews>
  <sheetFormatPr defaultColWidth="9.08984375" defaultRowHeight="14.5" x14ac:dyDescent="0.35"/>
  <cols>
    <col min="1" max="1" width="11" style="62" customWidth="1"/>
    <col min="2" max="2" width="9.453125" style="62" customWidth="1"/>
    <col min="3" max="3" width="1.81640625" style="62" customWidth="1"/>
    <col min="4" max="4" width="5.08984375" style="62" customWidth="1"/>
    <col min="5" max="5" width="9.08984375" style="62"/>
    <col min="6" max="6" width="10.90625" style="62" customWidth="1"/>
    <col min="7" max="7" width="3.6328125" style="62" customWidth="1"/>
    <col min="8" max="8" width="11.36328125" style="62" customWidth="1"/>
    <col min="9" max="18" width="9.08984375" style="62"/>
    <col min="19" max="19" width="5.453125" style="62" customWidth="1"/>
    <col min="20" max="21" width="9.08984375" style="62"/>
    <col min="22" max="22" width="8" style="62" customWidth="1"/>
    <col min="23" max="23" width="7.6328125" style="62" customWidth="1"/>
    <col min="24" max="16384" width="9.08984375" style="62"/>
  </cols>
  <sheetData>
    <row r="1" spans="1:20" ht="15" customHeight="1" x14ac:dyDescent="0.35">
      <c r="A1" s="61"/>
      <c r="B1" s="61"/>
      <c r="C1" s="61"/>
      <c r="D1" s="61"/>
      <c r="E1" s="61"/>
      <c r="F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20" x14ac:dyDescent="0.35">
      <c r="B2" s="61"/>
      <c r="C2" s="61"/>
      <c r="D2" s="61"/>
      <c r="E2" s="61"/>
      <c r="F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20" x14ac:dyDescent="0.35">
      <c r="A3" s="61"/>
      <c r="B3" s="61"/>
      <c r="C3" s="61"/>
      <c r="D3" s="61"/>
      <c r="E3" s="61"/>
      <c r="F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20" x14ac:dyDescent="0.35">
      <c r="A4" s="61"/>
      <c r="B4" s="61"/>
      <c r="C4" s="61"/>
      <c r="D4" s="61"/>
      <c r="E4" s="61"/>
      <c r="F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20" ht="9.75" customHeight="1" x14ac:dyDescent="0.35">
      <c r="A5" s="61"/>
      <c r="B5" s="61"/>
      <c r="C5" s="61"/>
      <c r="D5" s="61"/>
      <c r="E5" s="63"/>
      <c r="F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20" ht="6" customHeight="1" x14ac:dyDescent="0.35">
      <c r="A6" s="61"/>
      <c r="B6" s="61"/>
      <c r="C6" s="61"/>
      <c r="D6" s="61"/>
      <c r="E6" s="63"/>
      <c r="F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20" ht="16.5" customHeight="1" x14ac:dyDescent="0.35">
      <c r="A7" s="64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</row>
    <row r="8" spans="1:20" ht="21" x14ac:dyDescent="0.5">
      <c r="H8" s="216" t="s">
        <v>102</v>
      </c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</row>
    <row r="9" spans="1:20" ht="14.25" customHeight="1" x14ac:dyDescent="0.55000000000000004"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</row>
    <row r="10" spans="1:20" ht="18.5" x14ac:dyDescent="0.45">
      <c r="I10" s="65"/>
      <c r="J10" s="65"/>
      <c r="K10" s="65"/>
      <c r="L10" s="65"/>
      <c r="M10" s="65"/>
      <c r="N10" s="65"/>
      <c r="O10" s="65"/>
      <c r="P10" s="66"/>
      <c r="Q10" s="65"/>
      <c r="R10" s="65"/>
      <c r="S10" s="66"/>
      <c r="T10" s="67"/>
    </row>
    <row r="11" spans="1:20" ht="18.5" x14ac:dyDescent="0.45">
      <c r="I11" s="65"/>
      <c r="J11" s="65"/>
      <c r="K11" s="65"/>
      <c r="L11" s="65"/>
      <c r="M11" s="65"/>
      <c r="N11" s="65"/>
      <c r="O11" s="65"/>
      <c r="P11" s="65"/>
      <c r="S11" s="68"/>
      <c r="T11" s="68"/>
    </row>
    <row r="12" spans="1:20" ht="18.5" x14ac:dyDescent="0.45">
      <c r="I12" s="65"/>
      <c r="J12" s="65"/>
      <c r="K12" s="65"/>
      <c r="L12" s="65"/>
      <c r="M12" s="65"/>
      <c r="N12" s="65"/>
      <c r="O12" s="65"/>
      <c r="P12" s="65"/>
      <c r="S12" s="68"/>
      <c r="T12" s="68"/>
    </row>
    <row r="13" spans="1:20" ht="18.5" x14ac:dyDescent="0.45">
      <c r="I13" s="65"/>
      <c r="J13" s="65"/>
      <c r="K13" s="65"/>
      <c r="L13" s="65"/>
      <c r="M13" s="65"/>
      <c r="N13" s="65"/>
      <c r="O13" s="65"/>
      <c r="P13" s="65"/>
      <c r="S13" s="68"/>
      <c r="T13" s="68"/>
    </row>
    <row r="14" spans="1:20" ht="18.5" x14ac:dyDescent="0.45">
      <c r="I14" s="65"/>
      <c r="J14" s="65"/>
      <c r="K14" s="65"/>
      <c r="L14" s="65"/>
      <c r="M14" s="65"/>
      <c r="N14" s="65"/>
      <c r="O14" s="65"/>
      <c r="P14" s="65"/>
      <c r="S14" s="68"/>
      <c r="T14" s="68"/>
    </row>
    <row r="15" spans="1:20" ht="18.5" x14ac:dyDescent="0.45">
      <c r="I15" s="65"/>
      <c r="J15" s="65"/>
      <c r="K15" s="65"/>
      <c r="L15" s="65"/>
      <c r="M15" s="65"/>
      <c r="N15" s="65"/>
      <c r="O15" s="65"/>
      <c r="P15" s="65"/>
      <c r="S15" s="68"/>
      <c r="T15" s="68"/>
    </row>
    <row r="16" spans="1:20" ht="18.5" x14ac:dyDescent="0.45">
      <c r="I16" s="65"/>
      <c r="J16" s="65"/>
      <c r="K16" s="65"/>
      <c r="L16" s="65"/>
      <c r="M16" s="65"/>
      <c r="N16" s="65"/>
      <c r="O16" s="65"/>
      <c r="P16" s="65"/>
      <c r="S16" s="68"/>
      <c r="T16" s="68"/>
    </row>
    <row r="17" spans="8:20" ht="18.5" x14ac:dyDescent="0.45">
      <c r="I17" s="65"/>
      <c r="J17" s="65"/>
      <c r="K17" s="65"/>
      <c r="L17" s="65"/>
      <c r="M17" s="65"/>
      <c r="N17" s="65"/>
      <c r="O17" s="65"/>
      <c r="P17" s="65"/>
      <c r="S17" s="65"/>
      <c r="T17" s="67"/>
    </row>
    <row r="18" spans="8:20" ht="15" customHeight="1" x14ac:dyDescent="0.45">
      <c r="I18" s="65"/>
      <c r="J18" s="65"/>
      <c r="K18" s="65"/>
      <c r="L18" s="65"/>
      <c r="M18" s="65"/>
      <c r="N18" s="65"/>
      <c r="O18" s="65"/>
      <c r="P18" s="65"/>
      <c r="S18" s="65"/>
      <c r="T18" s="67"/>
    </row>
    <row r="19" spans="8:20" ht="15" customHeight="1" x14ac:dyDescent="0.45">
      <c r="I19" s="65"/>
      <c r="J19" s="65"/>
      <c r="K19" s="65"/>
      <c r="L19" s="65"/>
      <c r="M19" s="65"/>
      <c r="N19" s="65"/>
      <c r="O19" s="65"/>
      <c r="P19" s="65"/>
      <c r="S19" s="65"/>
      <c r="T19" s="67"/>
    </row>
    <row r="20" spans="8:20" ht="15" customHeight="1" x14ac:dyDescent="0.45"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6"/>
      <c r="T20" s="67"/>
    </row>
    <row r="21" spans="8:20" ht="15" customHeight="1" x14ac:dyDescent="0.45"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6"/>
      <c r="T21" s="67"/>
    </row>
    <row r="22" spans="8:20" ht="15" customHeight="1" x14ac:dyDescent="0.35">
      <c r="H22" s="221" t="s">
        <v>128</v>
      </c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</row>
    <row r="23" spans="8:20" ht="15" customHeight="1" x14ac:dyDescent="0.35">
      <c r="H23" s="220" t="s">
        <v>103</v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</row>
    <row r="24" spans="8:20" ht="15" customHeight="1" x14ac:dyDescent="0.35">
      <c r="H24" s="222" t="s">
        <v>163</v>
      </c>
      <c r="I24" s="222"/>
      <c r="J24" s="222"/>
      <c r="K24" s="222"/>
      <c r="L24" s="222"/>
      <c r="M24" s="222"/>
      <c r="N24" s="222"/>
      <c r="O24" s="222"/>
      <c r="P24" s="222"/>
      <c r="Q24" s="222"/>
      <c r="R24" s="70"/>
      <c r="S24" s="70"/>
      <c r="T24" s="70"/>
    </row>
    <row r="25" spans="8:20" ht="9" customHeight="1" x14ac:dyDescent="0.35"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8:20" ht="15" customHeight="1" x14ac:dyDescent="0.35">
      <c r="H26" s="219"/>
      <c r="I26" s="219"/>
      <c r="J26" s="219"/>
      <c r="K26" s="219"/>
      <c r="L26" s="219"/>
      <c r="M26" s="71"/>
      <c r="N26" s="71"/>
      <c r="O26" s="71"/>
      <c r="P26" s="72"/>
      <c r="Q26" s="218" t="s">
        <v>104</v>
      </c>
      <c r="R26" s="218"/>
      <c r="S26" s="218"/>
      <c r="T26" s="218"/>
    </row>
    <row r="27" spans="8:20" ht="15" customHeight="1" x14ac:dyDescent="0.35">
      <c r="H27" s="219"/>
      <c r="I27" s="219"/>
      <c r="J27" s="219"/>
      <c r="K27" s="219"/>
      <c r="L27" s="219"/>
      <c r="M27" s="73"/>
      <c r="N27" s="73"/>
      <c r="O27" s="73"/>
      <c r="P27" s="74"/>
      <c r="Q27" s="218" t="s">
        <v>105</v>
      </c>
      <c r="R27" s="218"/>
      <c r="S27" s="218"/>
      <c r="T27" s="218"/>
    </row>
    <row r="28" spans="8:20" x14ac:dyDescent="0.35">
      <c r="H28" s="75"/>
      <c r="I28" s="75"/>
      <c r="J28" s="75"/>
      <c r="K28" s="75"/>
      <c r="L28" s="75"/>
      <c r="M28" s="76"/>
      <c r="N28" s="76"/>
      <c r="O28" s="76"/>
      <c r="P28" s="77"/>
      <c r="Q28" s="78" t="s">
        <v>106</v>
      </c>
      <c r="R28" s="78"/>
      <c r="S28" s="78"/>
      <c r="T28" s="78"/>
    </row>
    <row r="29" spans="8:20" ht="15" customHeight="1" x14ac:dyDescent="0.35">
      <c r="H29" s="75"/>
      <c r="I29" s="75"/>
      <c r="J29" s="75"/>
      <c r="K29" s="75"/>
      <c r="L29" s="75"/>
      <c r="M29" s="76"/>
      <c r="N29" s="76"/>
      <c r="O29" s="76"/>
      <c r="P29" s="77"/>
      <c r="Q29" s="78" t="s">
        <v>41</v>
      </c>
      <c r="R29" s="78"/>
      <c r="S29" s="78"/>
      <c r="T29" s="78"/>
    </row>
    <row r="30" spans="8:20" x14ac:dyDescent="0.35">
      <c r="H30" s="75"/>
      <c r="I30" s="75"/>
      <c r="J30" s="75"/>
      <c r="K30" s="75"/>
      <c r="L30" s="75"/>
      <c r="M30" s="76"/>
      <c r="N30" s="76"/>
      <c r="O30" s="76"/>
      <c r="P30" s="77"/>
      <c r="Q30" s="215" t="s">
        <v>59</v>
      </c>
      <c r="R30" s="215"/>
      <c r="S30" s="215"/>
      <c r="T30" s="215"/>
    </row>
    <row r="31" spans="8:20" x14ac:dyDescent="0.35">
      <c r="H31" s="75"/>
      <c r="I31" s="75"/>
      <c r="J31" s="75"/>
      <c r="K31" s="75"/>
      <c r="L31" s="75"/>
      <c r="M31" s="76"/>
      <c r="N31" s="76"/>
      <c r="O31" s="76"/>
      <c r="P31" s="77"/>
      <c r="Q31" s="215" t="s">
        <v>42</v>
      </c>
      <c r="R31" s="215"/>
      <c r="S31" s="215"/>
      <c r="T31" s="215"/>
    </row>
  </sheetData>
  <mergeCells count="11">
    <mergeCell ref="Q30:T30"/>
    <mergeCell ref="Q31:T31"/>
    <mergeCell ref="H8:T8"/>
    <mergeCell ref="H9:T9"/>
    <mergeCell ref="Q27:T27"/>
    <mergeCell ref="H26:L26"/>
    <mergeCell ref="H27:L27"/>
    <mergeCell ref="H23:T23"/>
    <mergeCell ref="H22:T22"/>
    <mergeCell ref="Q26:T26"/>
    <mergeCell ref="H24:Q24"/>
  </mergeCells>
  <hyperlinks>
    <hyperlink ref="Q30" r:id="rId1" xr:uid="{71673C88-5463-4161-83CF-CD9CF893B618}"/>
    <hyperlink ref="Q31" r:id="rId2" xr:uid="{82F5B292-7BE3-40E1-A66D-AB909AD3CE02}"/>
    <hyperlink ref="Q30:T30" r:id="rId3" location="shares" display="www.romcarbon.com" xr:uid="{02F9AC0E-C59E-4B94-A68F-62D5310C64A0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C3E70-442B-4517-AA26-39466085205B}">
  <dimension ref="A1:AF66"/>
  <sheetViews>
    <sheetView showGridLines="0" topLeftCell="A43" workbookViewId="0">
      <selection activeCell="D58" sqref="D58"/>
    </sheetView>
  </sheetViews>
  <sheetFormatPr defaultColWidth="9.08984375" defaultRowHeight="14.5" x14ac:dyDescent="0.35"/>
  <cols>
    <col min="1" max="1" width="22.6328125" style="20" customWidth="1"/>
    <col min="2" max="2" width="16.6328125" style="20" bestFit="1" customWidth="1"/>
    <col min="3" max="3" width="17.54296875" style="20" bestFit="1" customWidth="1"/>
    <col min="4" max="4" width="17.6328125" style="20" customWidth="1"/>
    <col min="5" max="5" width="14.08984375" style="20" bestFit="1" customWidth="1"/>
    <col min="6" max="6" width="14.54296875" style="20" bestFit="1" customWidth="1"/>
    <col min="7" max="7" width="13.453125" style="20" bestFit="1" customWidth="1"/>
    <col min="8" max="8" width="12.90625" style="20" bestFit="1" customWidth="1"/>
    <col min="9" max="9" width="15.453125" style="20" bestFit="1" customWidth="1"/>
    <col min="10" max="10" width="6.36328125" style="20" customWidth="1"/>
    <col min="11" max="11" width="4.36328125" style="20" customWidth="1"/>
    <col min="12" max="12" width="24.6328125" style="29" bestFit="1" customWidth="1"/>
    <col min="13" max="13" width="3" style="20" customWidth="1"/>
    <col min="14" max="14" width="9.08984375" style="29"/>
    <col min="15" max="15" width="2.90625" style="20" customWidth="1"/>
    <col min="16" max="16" width="9.36328125" style="20" bestFit="1" customWidth="1"/>
    <col min="17" max="17" width="16.08984375" style="20" bestFit="1" customWidth="1"/>
    <col min="18" max="18" width="32.90625" style="20" bestFit="1" customWidth="1"/>
    <col min="19" max="19" width="3.36328125" style="20" customWidth="1"/>
    <col min="20" max="20" width="9.36328125" style="20" bestFit="1" customWidth="1"/>
    <col min="21" max="23" width="9.08984375" style="20"/>
    <col min="24" max="24" width="9.08984375" style="29"/>
    <col min="25" max="25" width="9.08984375" style="20"/>
    <col min="26" max="26" width="3.54296875" style="20" customWidth="1"/>
    <col min="27" max="27" width="9.08984375" style="20"/>
    <col min="28" max="28" width="20" style="20" bestFit="1" customWidth="1"/>
    <col min="29" max="29" width="33.453125" style="20" customWidth="1"/>
    <col min="30" max="31" width="9.08984375" style="20"/>
    <col min="32" max="32" width="32.90625" style="20" customWidth="1"/>
    <col min="33" max="16384" width="9.08984375" style="20"/>
  </cols>
  <sheetData>
    <row r="1" spans="1:32" x14ac:dyDescent="0.35">
      <c r="A1" s="22" t="str">
        <f>A4&amp;" vs. "&amp;A5</f>
        <v>Active curente vs. Datorii curente</v>
      </c>
      <c r="B1" s="22"/>
    </row>
    <row r="2" spans="1:32" x14ac:dyDescent="0.35">
      <c r="L2" s="29" t="s">
        <v>43</v>
      </c>
      <c r="N2" s="29" t="s">
        <v>44</v>
      </c>
      <c r="X2" s="29" t="s">
        <v>45</v>
      </c>
    </row>
    <row r="3" spans="1:32" x14ac:dyDescent="0.35">
      <c r="B3" s="24">
        <v>2019</v>
      </c>
      <c r="C3" s="24">
        <f>B3+1</f>
        <v>2020</v>
      </c>
      <c r="D3" s="24">
        <f t="shared" ref="D3:F3" si="0">C3+1</f>
        <v>2021</v>
      </c>
      <c r="E3" s="24">
        <f t="shared" si="0"/>
        <v>2022</v>
      </c>
      <c r="F3" s="24">
        <f t="shared" si="0"/>
        <v>2023</v>
      </c>
      <c r="G3" s="24"/>
      <c r="H3" s="24"/>
      <c r="L3" s="29" t="s">
        <v>61</v>
      </c>
      <c r="N3" s="29" t="s">
        <v>71</v>
      </c>
      <c r="P3" s="20">
        <v>1</v>
      </c>
      <c r="Q3" s="20" t="s">
        <v>116</v>
      </c>
      <c r="R3" s="20" t="s">
        <v>61</v>
      </c>
      <c r="S3" s="20">
        <f>IF(Q3=$A$8,P3,"")</f>
        <v>1</v>
      </c>
      <c r="T3" s="20">
        <f>SMALL($S$3:$S$10,ROWS(S3:$S$3))</f>
        <v>1</v>
      </c>
      <c r="U3" s="20" t="str">
        <f>VLOOKUP(T3,$P$3:$R$10,3,0)</f>
        <v>Active pe termen lung</v>
      </c>
      <c r="X3" s="29" t="s">
        <v>61</v>
      </c>
      <c r="AA3" s="20">
        <v>1</v>
      </c>
      <c r="AB3" s="20" t="s">
        <v>61</v>
      </c>
      <c r="AC3" s="20" t="s">
        <v>1</v>
      </c>
      <c r="AD3" s="20" t="str">
        <f>IF(AB3=Grafice!$F$20,hiddenPage!AA3,"")</f>
        <v/>
      </c>
      <c r="AE3" s="20">
        <f>SMALL($AD$3:$AD$35,ROWS($AD3:AD$3))</f>
        <v>8</v>
      </c>
      <c r="AF3" s="20" t="str">
        <f t="shared" ref="AF3:AF13" si="1">IF(ISERROR(VLOOKUP(AE3,$AA$3:$AC$40,3,0)),"",VLOOKUP(AE3,$AA$3:$AC$40,3,0))</f>
        <v>Stocuri curente</v>
      </c>
    </row>
    <row r="4" spans="1:32" x14ac:dyDescent="0.35">
      <c r="A4" s="23" t="str">
        <f>Grafice!F2</f>
        <v>Active curente</v>
      </c>
      <c r="B4" s="25">
        <f>SUMIF('1.Pozitia financiara'!$B:$B,$A4,'1.Pozitia financiara'!C:C)</f>
        <v>100619242.74018784</v>
      </c>
      <c r="C4" s="25">
        <f>SUMIF('1.Pozitia financiara'!$B:$B,$A4,'1.Pozitia financiara'!D:D)</f>
        <v>97641045.390308842</v>
      </c>
      <c r="D4" s="25">
        <f>SUMIF('1.Pozitia financiara'!$B:$B,$A4,'1.Pozitia financiara'!E:E)</f>
        <v>134454393.24675953</v>
      </c>
      <c r="E4" s="25">
        <f>SUMIF('1.Pozitia financiara'!$B:$B,$A4,'1.Pozitia financiara'!F:F)</f>
        <v>209568594</v>
      </c>
      <c r="F4" s="25">
        <f>SUMIF('1.Pozitia financiara'!$B:$B,$A4,'1.Pozitia financiara'!G:G)</f>
        <v>157796518</v>
      </c>
      <c r="G4" s="25"/>
      <c r="H4" s="25"/>
      <c r="L4" s="29" t="s">
        <v>63</v>
      </c>
      <c r="N4" s="29" t="s">
        <v>116</v>
      </c>
      <c r="P4" s="20">
        <v>2</v>
      </c>
      <c r="Q4" s="20" t="s">
        <v>116</v>
      </c>
      <c r="R4" s="20" t="s">
        <v>63</v>
      </c>
      <c r="S4" s="20">
        <f t="shared" ref="S4:S10" si="2">IF(Q4=$A$8,P4,"")</f>
        <v>2</v>
      </c>
      <c r="T4" s="20">
        <f>SMALL($S$3:$S$10,ROWS(S$3:$S4))</f>
        <v>2</v>
      </c>
      <c r="U4" s="20" t="str">
        <f t="shared" ref="U4:U10" si="3">VLOOKUP(T4,$P$3:$R$10,3,0)</f>
        <v>Active curente</v>
      </c>
      <c r="X4" s="29" t="s">
        <v>63</v>
      </c>
      <c r="AA4" s="20">
        <f>AA3+1</f>
        <v>2</v>
      </c>
      <c r="AB4" s="20" t="s">
        <v>61</v>
      </c>
      <c r="AC4" s="20" t="s">
        <v>2</v>
      </c>
      <c r="AD4" s="20" t="str">
        <f>IF(AB4=Grafice!$F$20,hiddenPage!AA4,"")</f>
        <v/>
      </c>
      <c r="AE4" s="20">
        <f>SMALL($AD$3:$AD$35,ROWS($AD$3:AD4))</f>
        <v>9</v>
      </c>
      <c r="AF4" s="20" t="str">
        <f t="shared" si="1"/>
        <v>Creante comerciale si alte creante</v>
      </c>
    </row>
    <row r="5" spans="1:32" x14ac:dyDescent="0.35">
      <c r="A5" s="23" t="str">
        <f>Grafice!F3</f>
        <v>Datorii curente</v>
      </c>
      <c r="B5" s="25">
        <f>SUMIF('1.Pozitia financiara'!$B:$B,$A5,'1.Pozitia financiara'!C:C)</f>
        <v>103829238.30141784</v>
      </c>
      <c r="C5" s="25">
        <f>SUMIF('1.Pozitia financiara'!$B:$B,$A5,'1.Pozitia financiara'!D:D)</f>
        <v>93887746.841849849</v>
      </c>
      <c r="D5" s="25">
        <f>SUMIF('1.Pozitia financiara'!$B:$B,$A5,'1.Pozitia financiara'!E:E)</f>
        <v>130578926.71184984</v>
      </c>
      <c r="E5" s="25">
        <f>SUMIF('1.Pozitia financiara'!$B:$B,$A5,'1.Pozitia financiara'!F:F)</f>
        <v>147792245</v>
      </c>
      <c r="F5" s="25">
        <f>SUMIF('1.Pozitia financiara'!$B:$B,$A5,'1.Pozitia financiara'!G:G)</f>
        <v>114050832</v>
      </c>
      <c r="G5" s="25"/>
      <c r="H5" s="25"/>
      <c r="L5" s="29" t="s">
        <v>117</v>
      </c>
      <c r="N5" s="29" t="s">
        <v>153</v>
      </c>
      <c r="P5" s="20">
        <v>3</v>
      </c>
      <c r="Q5" s="20" t="s">
        <v>71</v>
      </c>
      <c r="R5" s="20" t="s">
        <v>69</v>
      </c>
      <c r="S5" s="20" t="str">
        <f t="shared" si="2"/>
        <v/>
      </c>
      <c r="T5" s="20" t="e">
        <f>SMALL($S$3:$S$10,ROWS(S$3:$S5))</f>
        <v>#NUM!</v>
      </c>
      <c r="U5" s="20" t="e">
        <f t="shared" si="3"/>
        <v>#NUM!</v>
      </c>
      <c r="X5" s="29" t="s">
        <v>69</v>
      </c>
      <c r="AA5" s="20">
        <f t="shared" ref="AA5:AA36" si="4">AA4+1</f>
        <v>3</v>
      </c>
      <c r="AB5" s="20" t="s">
        <v>61</v>
      </c>
      <c r="AC5" s="20" t="s">
        <v>60</v>
      </c>
      <c r="AD5" s="20" t="str">
        <f>IF(AB5=Grafice!$F$20,hiddenPage!AA5,"")</f>
        <v/>
      </c>
      <c r="AE5" s="20">
        <f>SMALL($AD$3:$AD$35,ROWS($AD$3:AD5))</f>
        <v>10</v>
      </c>
      <c r="AF5" s="20" t="str">
        <f t="shared" si="1"/>
        <v xml:space="preserve">Alte active curente financiare </v>
      </c>
    </row>
    <row r="6" spans="1:32" x14ac:dyDescent="0.35">
      <c r="L6" s="29" t="s">
        <v>67</v>
      </c>
      <c r="N6" s="29" t="s">
        <v>129</v>
      </c>
      <c r="P6" s="20">
        <v>4</v>
      </c>
      <c r="Q6" s="20" t="s">
        <v>71</v>
      </c>
      <c r="R6" s="20" t="s">
        <v>70</v>
      </c>
      <c r="S6" s="20" t="str">
        <f t="shared" si="2"/>
        <v/>
      </c>
      <c r="T6" s="20" t="e">
        <f>SMALL($S$3:$S$10,ROWS(S$3:$S6))</f>
        <v>#NUM!</v>
      </c>
      <c r="U6" s="20" t="e">
        <f t="shared" si="3"/>
        <v>#NUM!</v>
      </c>
      <c r="X6" s="29" t="s">
        <v>70</v>
      </c>
      <c r="AA6" s="20">
        <f t="shared" si="4"/>
        <v>4</v>
      </c>
      <c r="AB6" s="20" t="s">
        <v>61</v>
      </c>
      <c r="AC6" s="20" t="s">
        <v>139</v>
      </c>
      <c r="AD6" s="20" t="str">
        <f>IF(AB6=Grafice!$F$20,hiddenPage!AA6,"")</f>
        <v/>
      </c>
      <c r="AE6" s="20">
        <f>SMALL($AD$3:$AD$35,ROWS($AD$3:AD6))</f>
        <v>11</v>
      </c>
      <c r="AF6" s="20" t="str">
        <f t="shared" si="1"/>
        <v>Alte active curente</v>
      </c>
    </row>
    <row r="7" spans="1:32" x14ac:dyDescent="0.35">
      <c r="A7" s="22" t="str">
        <f>A10&amp;" vs. "&amp;A11</f>
        <v>Active pe termen lung vs. Active curente</v>
      </c>
      <c r="B7" s="22"/>
      <c r="C7" s="22"/>
      <c r="D7" s="21" t="str">
        <f>I9&amp;" structura indicatorului "&amp;A8</f>
        <v>2023 structura indicatorului Active</v>
      </c>
      <c r="E7" s="21"/>
      <c r="L7" s="29" t="s">
        <v>69</v>
      </c>
      <c r="P7" s="20">
        <v>5</v>
      </c>
      <c r="Q7" s="20" t="s">
        <v>153</v>
      </c>
      <c r="R7" s="20" t="s">
        <v>148</v>
      </c>
      <c r="S7" s="20" t="str">
        <f t="shared" si="2"/>
        <v/>
      </c>
      <c r="T7" s="20" t="e">
        <f>SMALL($S$3:$S$10,ROWS(S$3:$S7))</f>
        <v>#NUM!</v>
      </c>
      <c r="U7" s="20" t="e">
        <f t="shared" si="3"/>
        <v>#NUM!</v>
      </c>
      <c r="X7" s="29" t="s">
        <v>67</v>
      </c>
      <c r="AA7" s="20">
        <f t="shared" si="4"/>
        <v>5</v>
      </c>
      <c r="AB7" s="20" t="s">
        <v>61</v>
      </c>
      <c r="AC7" s="20" t="s">
        <v>140</v>
      </c>
      <c r="AD7" s="20" t="str">
        <f>IF(AB7=Grafice!$F$20,hiddenPage!AA7,"")</f>
        <v/>
      </c>
      <c r="AE7" s="20">
        <f>SMALL($AD$3:$AD$35,ROWS($AD$3:AD7))</f>
        <v>12</v>
      </c>
      <c r="AF7" s="20" t="str">
        <f t="shared" si="1"/>
        <v>Numerar şi conturi bancare</v>
      </c>
    </row>
    <row r="8" spans="1:32" x14ac:dyDescent="0.35">
      <c r="A8" s="20" t="str">
        <f>Grafice!N2</f>
        <v>Active</v>
      </c>
      <c r="B8" s="20">
        <f>IF(B9=Grafice!$T$2,1,0)</f>
        <v>0</v>
      </c>
      <c r="C8" s="20">
        <f>IF(C9=Grafice!$T$2,1,0)</f>
        <v>0</v>
      </c>
      <c r="D8" s="20">
        <f>IF(D9=Grafice!$T$2,1,0)</f>
        <v>0</v>
      </c>
      <c r="E8" s="20">
        <f>IF(E9=Grafice!$T$2,1,0)</f>
        <v>0</v>
      </c>
      <c r="F8" s="20">
        <f>IF(F9=Grafice!$T$2,1,0)</f>
        <v>1</v>
      </c>
      <c r="L8" s="29" t="s">
        <v>70</v>
      </c>
      <c r="P8" s="20">
        <v>6</v>
      </c>
      <c r="Q8" s="20" t="s">
        <v>153</v>
      </c>
      <c r="R8" s="20" t="s">
        <v>151</v>
      </c>
      <c r="S8" s="20" t="str">
        <f t="shared" si="2"/>
        <v/>
      </c>
      <c r="T8" s="20" t="e">
        <f>SMALL($S$3:$S$10,ROWS(S$3:$S8))</f>
        <v>#NUM!</v>
      </c>
      <c r="U8" s="20" t="e">
        <f t="shared" si="3"/>
        <v>#NUM!</v>
      </c>
      <c r="AA8" s="20">
        <f t="shared" si="4"/>
        <v>6</v>
      </c>
      <c r="AB8" s="20" t="s">
        <v>61</v>
      </c>
      <c r="AC8" s="20" t="s">
        <v>154</v>
      </c>
      <c r="AD8" s="20" t="str">
        <f>IF(AB8=Grafice!$F$20,hiddenPage!AA8,"")</f>
        <v/>
      </c>
      <c r="AE8" s="20">
        <f>SMALL($AD$3:$AD$35,ROWS($AD$3:AD8))</f>
        <v>13</v>
      </c>
      <c r="AF8" s="20" t="str">
        <f t="shared" si="1"/>
        <v>Active imobilizante detinute in vederea vanzarii</v>
      </c>
    </row>
    <row r="9" spans="1:32" x14ac:dyDescent="0.35">
      <c r="B9" s="24">
        <f>B3</f>
        <v>2019</v>
      </c>
      <c r="C9" s="24">
        <f t="shared" ref="C9:F9" si="5">C3</f>
        <v>2020</v>
      </c>
      <c r="D9" s="24">
        <f t="shared" si="5"/>
        <v>2021</v>
      </c>
      <c r="E9" s="24">
        <f t="shared" si="5"/>
        <v>2022</v>
      </c>
      <c r="F9" s="24">
        <f t="shared" si="5"/>
        <v>2023</v>
      </c>
      <c r="G9" s="24"/>
      <c r="H9" s="24"/>
      <c r="I9" s="24">
        <f>Grafice!T2</f>
        <v>2023</v>
      </c>
      <c r="L9" s="29" t="s">
        <v>112</v>
      </c>
      <c r="P9" s="20">
        <v>7</v>
      </c>
      <c r="Q9" s="30" t="s">
        <v>129</v>
      </c>
      <c r="R9" s="20" t="s">
        <v>112</v>
      </c>
      <c r="S9" s="20" t="str">
        <f t="shared" si="2"/>
        <v/>
      </c>
      <c r="T9" s="20" t="e">
        <f>SMALL($S$3:$S$10,ROWS(S$3:$S9))</f>
        <v>#NUM!</v>
      </c>
      <c r="U9" s="20" t="e">
        <f t="shared" si="3"/>
        <v>#NUM!</v>
      </c>
      <c r="AA9" s="20">
        <f t="shared" si="4"/>
        <v>7</v>
      </c>
      <c r="AB9" s="20" t="s">
        <v>61</v>
      </c>
      <c r="AC9" s="20" t="s">
        <v>141</v>
      </c>
      <c r="AD9" s="20" t="str">
        <f>IF(AB9=Grafice!$F$20,hiddenPage!AA9,"")</f>
        <v/>
      </c>
      <c r="AE9" s="20" t="e">
        <f>SMALL($AD$3:$AD$35,ROWS($AD$3:AD9))</f>
        <v>#NUM!</v>
      </c>
      <c r="AF9" s="20" t="str">
        <f t="shared" si="1"/>
        <v/>
      </c>
    </row>
    <row r="10" spans="1:32" x14ac:dyDescent="0.35">
      <c r="A10" s="23" t="str">
        <f>U3</f>
        <v>Active pe termen lung</v>
      </c>
      <c r="B10" s="25">
        <f>SUMIF('1.Pozitia financiara'!$B:$B,$A10,'1.Pozitia financiara'!C:C)</f>
        <v>198403905.9006781</v>
      </c>
      <c r="C10" s="25">
        <f>SUMIF('1.Pozitia financiara'!$B:$B,$A10,'1.Pozitia financiara'!D:D)</f>
        <v>181875186.31763047</v>
      </c>
      <c r="D10" s="25">
        <f>SUMIF('1.Pozitia financiara'!$B:$B,$A10,'1.Pozitia financiara'!E:E)</f>
        <v>167356017.69694859</v>
      </c>
      <c r="E10" s="25">
        <f>SUMIF('1.Pozitia financiara'!$B:$B,$A10,'1.Pozitia financiara'!F:F)</f>
        <v>134542936</v>
      </c>
      <c r="F10" s="25">
        <f>SUMIF('1.Pozitia financiara'!$B:$B,$A10,'1.Pozitia financiara'!G:G)</f>
        <v>134774315</v>
      </c>
      <c r="G10" s="25"/>
      <c r="H10" s="25"/>
      <c r="I10" s="25">
        <f>SUMPRODUCT(B10:H10,$B$8:$H$8)</f>
        <v>134774315</v>
      </c>
      <c r="L10" s="29" t="s">
        <v>72</v>
      </c>
      <c r="P10" s="20">
        <v>8</v>
      </c>
      <c r="Q10" s="30" t="s">
        <v>129</v>
      </c>
      <c r="R10" s="20" t="s">
        <v>67</v>
      </c>
      <c r="S10" s="20" t="str">
        <f t="shared" si="2"/>
        <v/>
      </c>
      <c r="T10" s="20" t="e">
        <f>SMALL($S$3:$S$10,ROWS(S$3:$S10))</f>
        <v>#NUM!</v>
      </c>
      <c r="U10" s="20" t="e">
        <f t="shared" si="3"/>
        <v>#NUM!</v>
      </c>
      <c r="AA10" s="20">
        <f t="shared" si="4"/>
        <v>8</v>
      </c>
      <c r="AB10" s="20" t="s">
        <v>63</v>
      </c>
      <c r="AC10" s="20" t="s">
        <v>142</v>
      </c>
      <c r="AD10" s="20">
        <f>IF(AB10=Grafice!$F$20,hiddenPage!AA10,"")</f>
        <v>8</v>
      </c>
      <c r="AE10" s="20" t="e">
        <f>SMALL($AD$3:$AD$35,ROWS($AD$3:AD10))</f>
        <v>#NUM!</v>
      </c>
      <c r="AF10" s="20" t="str">
        <f t="shared" si="1"/>
        <v/>
      </c>
    </row>
    <row r="11" spans="1:32" x14ac:dyDescent="0.35">
      <c r="A11" s="23" t="str">
        <f>U4</f>
        <v>Active curente</v>
      </c>
      <c r="B11" s="25">
        <f>SUMIF('1.Pozitia financiara'!$B:$B,$A11,'1.Pozitia financiara'!C:C)</f>
        <v>100619242.74018784</v>
      </c>
      <c r="C11" s="25">
        <f>SUMIF('1.Pozitia financiara'!$B:$B,$A11,'1.Pozitia financiara'!D:D)</f>
        <v>97641045.390308842</v>
      </c>
      <c r="D11" s="25">
        <f>SUMIF('1.Pozitia financiara'!$B:$B,$A11,'1.Pozitia financiara'!E:E)</f>
        <v>134454393.24675953</v>
      </c>
      <c r="E11" s="25">
        <f>SUMIF('1.Pozitia financiara'!$B:$B,$A11,'1.Pozitia financiara'!F:F)</f>
        <v>209568594</v>
      </c>
      <c r="F11" s="25">
        <f>SUMIF('1.Pozitia financiara'!$B:$B,$A11,'1.Pozitia financiara'!G:G)</f>
        <v>157796518</v>
      </c>
      <c r="G11" s="25"/>
      <c r="H11" s="25"/>
      <c r="I11" s="25">
        <f>SUMPRODUCT(B11:H11,$B$8:$H$8)</f>
        <v>157796518</v>
      </c>
      <c r="AA11" s="20">
        <f t="shared" si="4"/>
        <v>9</v>
      </c>
      <c r="AB11" s="20" t="s">
        <v>63</v>
      </c>
      <c r="AC11" s="20" t="s">
        <v>143</v>
      </c>
      <c r="AD11" s="20">
        <f>IF(AB11=Grafice!$F$20,hiddenPage!AA11,"")</f>
        <v>9</v>
      </c>
      <c r="AE11" s="20" t="e">
        <f>SMALL($AD$3:$AD$35,ROWS($AD$3:AD11))</f>
        <v>#NUM!</v>
      </c>
      <c r="AF11" s="20" t="str">
        <f t="shared" si="1"/>
        <v/>
      </c>
    </row>
    <row r="12" spans="1:32" x14ac:dyDescent="0.35">
      <c r="B12" s="32">
        <f>B10+B11</f>
        <v>299023148.64086592</v>
      </c>
      <c r="C12" s="32">
        <f t="shared" ref="C12:F12" si="6">C10+C11</f>
        <v>279516231.70793933</v>
      </c>
      <c r="D12" s="32">
        <f t="shared" si="6"/>
        <v>301810410.94370812</v>
      </c>
      <c r="E12" s="32">
        <f t="shared" si="6"/>
        <v>344111530</v>
      </c>
      <c r="F12" s="32">
        <f t="shared" si="6"/>
        <v>292570833</v>
      </c>
      <c r="AA12" s="20">
        <f t="shared" si="4"/>
        <v>10</v>
      </c>
      <c r="AB12" s="20" t="s">
        <v>63</v>
      </c>
      <c r="AC12" s="20" t="s">
        <v>144</v>
      </c>
      <c r="AD12" s="20">
        <f>IF(AB12=Grafice!$F$20,hiddenPage!AA12,"")</f>
        <v>10</v>
      </c>
      <c r="AE12" s="20" t="e">
        <f>SMALL($AD$3:$AD$35,ROWS($AD$3:AD12))</f>
        <v>#NUM!</v>
      </c>
      <c r="AF12" s="20" t="str">
        <f t="shared" si="1"/>
        <v/>
      </c>
    </row>
    <row r="13" spans="1:32" x14ac:dyDescent="0.35">
      <c r="A13" s="20" t="str">
        <f>"Structura indicatorului  "&amp;Grafice!F20&amp;" in "&amp;Grafice!F21</f>
        <v>Structura indicatorului  Active curente in 2023</v>
      </c>
      <c r="AA13" s="20">
        <f t="shared" si="4"/>
        <v>11</v>
      </c>
      <c r="AB13" s="20" t="s">
        <v>63</v>
      </c>
      <c r="AC13" s="20" t="s">
        <v>62</v>
      </c>
      <c r="AD13" s="20">
        <f>IF(AB13=Grafice!$F$20,hiddenPage!AA13,"")</f>
        <v>11</v>
      </c>
      <c r="AE13" s="20" t="e">
        <f>SMALL($AD$3:$AD$35,ROWS($AD$3:AD13))</f>
        <v>#NUM!</v>
      </c>
      <c r="AF13" s="20" t="str">
        <f t="shared" si="1"/>
        <v/>
      </c>
    </row>
    <row r="14" spans="1:32" x14ac:dyDescent="0.35">
      <c r="B14" s="20">
        <f>IF(Grafice!$F$21=B15,1,0)</f>
        <v>0</v>
      </c>
      <c r="C14" s="20">
        <f>IF(Grafice!$F$21=C15,1,0)</f>
        <v>0</v>
      </c>
      <c r="D14" s="20">
        <f>IF(Grafice!$F$21=D15,1,0)</f>
        <v>0</v>
      </c>
      <c r="E14" s="20">
        <f>IF(Grafice!$F$21=E15,1,0)</f>
        <v>0</v>
      </c>
      <c r="F14" s="20">
        <f>IF(Grafice!$F$21=F15,1,0)</f>
        <v>1</v>
      </c>
      <c r="G14" s="20">
        <f>IF(Grafice!$F$21=G15,1,0)</f>
        <v>0</v>
      </c>
      <c r="H14" s="20">
        <f>IF(Grafice!$F$21=H15,1,0)</f>
        <v>0</v>
      </c>
      <c r="AA14" s="20">
        <f t="shared" si="4"/>
        <v>12</v>
      </c>
      <c r="AB14" s="20" t="s">
        <v>63</v>
      </c>
      <c r="AC14" s="20" t="s">
        <v>145</v>
      </c>
      <c r="AD14" s="20">
        <f>IF(AB14=Grafice!$F$20,hiddenPage!AA14,"")</f>
        <v>12</v>
      </c>
      <c r="AE14" s="20" t="e">
        <f>SMALL($AD$3:$AD$35,ROWS($AD$3:AD14))</f>
        <v>#NUM!</v>
      </c>
    </row>
    <row r="15" spans="1:32" x14ac:dyDescent="0.35">
      <c r="A15" s="22"/>
      <c r="B15" s="36">
        <f>B9</f>
        <v>2019</v>
      </c>
      <c r="C15" s="36">
        <f t="shared" ref="C15:F15" si="7">C9</f>
        <v>2020</v>
      </c>
      <c r="D15" s="36">
        <f t="shared" si="7"/>
        <v>2021</v>
      </c>
      <c r="E15" s="36">
        <f t="shared" si="7"/>
        <v>2022</v>
      </c>
      <c r="F15" s="36">
        <f t="shared" si="7"/>
        <v>2023</v>
      </c>
      <c r="G15" s="36"/>
      <c r="H15" s="36"/>
      <c r="I15" s="30" t="s">
        <v>53</v>
      </c>
      <c r="J15" s="30" t="s">
        <v>54</v>
      </c>
      <c r="K15" s="30"/>
      <c r="L15" s="29" t="s">
        <v>55</v>
      </c>
      <c r="M15" s="30"/>
      <c r="N15" s="10" t="s">
        <v>56</v>
      </c>
      <c r="O15" s="10"/>
      <c r="P15" s="10"/>
      <c r="Q15" s="10" t="s">
        <v>57</v>
      </c>
      <c r="R15" s="10" t="s">
        <v>58</v>
      </c>
      <c r="AA15" s="20">
        <f t="shared" si="4"/>
        <v>13</v>
      </c>
      <c r="AB15" s="20" t="s">
        <v>63</v>
      </c>
      <c r="AC15" s="20" t="s">
        <v>146</v>
      </c>
      <c r="AD15" s="20">
        <f>IF(AB15=Grafice!$F$20,hiddenPage!AA15,"")</f>
        <v>13</v>
      </c>
      <c r="AE15" s="20" t="e">
        <f>SMALL($AD$3:$AD$35,ROWS($AD$3:AD15))</f>
        <v>#NUM!</v>
      </c>
      <c r="AF15" s="20" t="str">
        <f>IF(ISERROR(VLOOKUP(AE15,$AA$3:$AC$40,3,0)),"",VLOOKUP(AE15,$AA$3:$AC$40,3,0))</f>
        <v/>
      </c>
    </row>
    <row r="16" spans="1:32" x14ac:dyDescent="0.35">
      <c r="A16" s="22" t="str">
        <f>AF3</f>
        <v>Stocuri curente</v>
      </c>
      <c r="B16" s="37">
        <f>SUMIF('1.Pozitia financiara'!$B:$B,$A16,'1.Pozitia financiara'!C:C)</f>
        <v>45992536.542492926</v>
      </c>
      <c r="C16" s="37">
        <f>SUMIF('1.Pozitia financiara'!$B:$B,$A16,'1.Pozitia financiara'!D:D)</f>
        <v>39267786.496564828</v>
      </c>
      <c r="D16" s="37">
        <f>SUMIF('1.Pozitia financiara'!$B:$B,$A16,'1.Pozitia financiara'!E:E)</f>
        <v>54803658.57558158</v>
      </c>
      <c r="E16" s="37">
        <f>SUMIF('1.Pozitia financiara'!$B:$B,$A16,'1.Pozitia financiara'!F:F)</f>
        <v>65899751</v>
      </c>
      <c r="F16" s="37">
        <f>SUMIF('1.Pozitia financiara'!$B:$B,$A16,'1.Pozitia financiara'!G:G)</f>
        <v>59716567</v>
      </c>
      <c r="G16" s="37"/>
      <c r="H16" s="37"/>
      <c r="I16" s="39">
        <f>SUMPRODUCT($B$14:$H$14,B16:H16)</f>
        <v>59716567</v>
      </c>
      <c r="J16" s="40">
        <f>RANK(I16,$I$16:$I$22,0)+COUNTIF($I16:I$22,I16)-1</f>
        <v>2</v>
      </c>
      <c r="K16" s="30"/>
      <c r="L16" s="29">
        <v>1</v>
      </c>
      <c r="M16" s="30"/>
      <c r="N16" s="10" t="str">
        <f t="shared" ref="N16:N22" si="8">INDEX($A$16:$A$22,MATCH(L16,$J$16:$J$22,0))</f>
        <v>Creante comerciale si alte creante</v>
      </c>
      <c r="O16" s="10"/>
      <c r="P16" s="10"/>
      <c r="Q16" s="41">
        <f>SUMIF($A$16:$A$22,N16,$I$16:$I$22)</f>
        <v>60437183</v>
      </c>
      <c r="R16" s="42">
        <f>Q16/$Q$23</f>
        <v>0.38300707623979385</v>
      </c>
      <c r="AA16" s="20">
        <f t="shared" si="4"/>
        <v>14</v>
      </c>
      <c r="AB16" s="20" t="s">
        <v>67</v>
      </c>
      <c r="AC16" s="20" t="s">
        <v>3</v>
      </c>
      <c r="AD16" s="20" t="str">
        <f>IF(AB16=Grafice!$F$20,hiddenPage!AA16,"")</f>
        <v/>
      </c>
      <c r="AE16" s="20" t="e">
        <f>SMALL($AD$3:$AD$35,ROWS($AD$3:AD16))</f>
        <v>#NUM!</v>
      </c>
    </row>
    <row r="17" spans="1:32" x14ac:dyDescent="0.35">
      <c r="A17" s="22" t="str">
        <f t="shared" ref="A17:A22" si="9">AF4</f>
        <v>Creante comerciale si alte creante</v>
      </c>
      <c r="B17" s="37">
        <f>SUMIF('1.Pozitia financiara'!$B:$B,$A17,'1.Pozitia financiara'!C:C)</f>
        <v>34018157.702699974</v>
      </c>
      <c r="C17" s="37">
        <f>SUMIF('1.Pozitia financiara'!$B:$B,$A17,'1.Pozitia financiara'!D:D)</f>
        <v>36180344.175505936</v>
      </c>
      <c r="D17" s="37">
        <f>SUMIF('1.Pozitia financiara'!$B:$B,$A17,'1.Pozitia financiara'!E:E)</f>
        <v>53054233.585505947</v>
      </c>
      <c r="E17" s="37">
        <f>SUMIF('1.Pozitia financiara'!$B:$B,$A17,'1.Pozitia financiara'!F:F)</f>
        <v>60979526</v>
      </c>
      <c r="F17" s="37">
        <f>SUMIF('1.Pozitia financiara'!$B:$B,$A17,'1.Pozitia financiara'!G:G)</f>
        <v>60437183</v>
      </c>
      <c r="G17" s="37"/>
      <c r="H17" s="37"/>
      <c r="I17" s="39">
        <f t="shared" ref="I17:I22" si="10">SUMPRODUCT($B$14:$H$14,B17:H17)</f>
        <v>60437183</v>
      </c>
      <c r="J17" s="40">
        <f>RANK(I17,$I$16:$I$22,0)+COUNTIF($I17:I$22,I17)-1</f>
        <v>1</v>
      </c>
      <c r="K17" s="30"/>
      <c r="L17" s="29">
        <v>2</v>
      </c>
      <c r="M17" s="30"/>
      <c r="N17" s="10" t="str">
        <f t="shared" si="8"/>
        <v>Stocuri curente</v>
      </c>
      <c r="O17" s="10"/>
      <c r="P17" s="10"/>
      <c r="Q17" s="41">
        <f t="shared" ref="Q17:Q22" si="11">SUMIF($A$16:$A$22,N17,$I$16:$I$22)</f>
        <v>59716567</v>
      </c>
      <c r="R17" s="42">
        <f t="shared" ref="R17:R22" si="12">Q17/$Q$23</f>
        <v>0.37844033415236705</v>
      </c>
      <c r="AA17" s="20">
        <f t="shared" si="4"/>
        <v>15</v>
      </c>
      <c r="AB17" s="20" t="s">
        <v>67</v>
      </c>
      <c r="AC17" s="20" t="s">
        <v>64</v>
      </c>
      <c r="AD17" s="20" t="str">
        <f>IF(AB17=Grafice!$F$20,hiddenPage!AA17,"")</f>
        <v/>
      </c>
      <c r="AE17" s="20" t="e">
        <f>SMALL($AD$3:$AD$35,ROWS($AD$3:AD17))</f>
        <v>#NUM!</v>
      </c>
    </row>
    <row r="18" spans="1:32" x14ac:dyDescent="0.35">
      <c r="A18" s="22" t="str">
        <f t="shared" si="9"/>
        <v xml:space="preserve">Alte active curente financiare </v>
      </c>
      <c r="B18" s="37">
        <f>SUMIF('1.Pozitia financiara'!$B:$B,$A18,'1.Pozitia financiara'!C:C)</f>
        <v>2389649.9115479453</v>
      </c>
      <c r="C18" s="37">
        <f>SUMIF('1.Pozitia financiara'!$B:$B,$A18,'1.Pozitia financiara'!D:D)</f>
        <v>181047.34791506856</v>
      </c>
      <c r="D18" s="37">
        <f>SUMIF('1.Pozitia financiara'!$B:$B,$A18,'1.Pozitia financiara'!E:E)</f>
        <v>617901.78</v>
      </c>
      <c r="E18" s="37">
        <f>SUMIF('1.Pozitia financiara'!$B:$B,$A18,'1.Pozitia financiara'!F:F)</f>
        <v>263414</v>
      </c>
      <c r="F18" s="37">
        <f>SUMIF('1.Pozitia financiara'!$B:$B,$A18,'1.Pozitia financiara'!G:G)</f>
        <v>2833298</v>
      </c>
      <c r="G18" s="37"/>
      <c r="H18" s="37"/>
      <c r="I18" s="39">
        <f t="shared" si="10"/>
        <v>2833298</v>
      </c>
      <c r="J18" s="40">
        <f>RANK(I18,$I$16:$I$22,0)+COUNTIF($I18:I$22,I18)-1</f>
        <v>4</v>
      </c>
      <c r="K18" s="30"/>
      <c r="L18" s="29">
        <v>3</v>
      </c>
      <c r="M18" s="30"/>
      <c r="N18" s="10" t="str">
        <f t="shared" si="8"/>
        <v>Numerar şi conturi bancare</v>
      </c>
      <c r="O18" s="10"/>
      <c r="P18" s="10"/>
      <c r="Q18" s="41">
        <f t="shared" si="11"/>
        <v>33716158</v>
      </c>
      <c r="R18" s="42">
        <f t="shared" si="12"/>
        <v>0.21366858044358114</v>
      </c>
      <c r="AA18" s="20">
        <f t="shared" si="4"/>
        <v>16</v>
      </c>
      <c r="AB18" s="20" t="s">
        <v>67</v>
      </c>
      <c r="AC18" s="20" t="s">
        <v>4</v>
      </c>
      <c r="AD18" s="20" t="str">
        <f>IF(AB18=Grafice!$F$20,hiddenPage!AA18,"")</f>
        <v/>
      </c>
      <c r="AE18" s="20" t="e">
        <f>SMALL($AD$3:$AD$35,ROWS($AD$3:AD18))</f>
        <v>#NUM!</v>
      </c>
    </row>
    <row r="19" spans="1:32" x14ac:dyDescent="0.35">
      <c r="A19" s="22" t="str">
        <f t="shared" si="9"/>
        <v>Alte active curente</v>
      </c>
      <c r="B19" s="37">
        <f>SUMIF('1.Pozitia financiara'!$B:$B,$A19,'1.Pozitia financiara'!C:C)</f>
        <v>1496725.5565500001</v>
      </c>
      <c r="C19" s="37">
        <f>SUMIF('1.Pozitia financiara'!$B:$B,$A19,'1.Pozitia financiara'!D:D)</f>
        <v>1236390.7065499998</v>
      </c>
      <c r="D19" s="37">
        <f>SUMIF('1.Pozitia financiara'!$B:$B,$A19,'1.Pozitia financiara'!E:E)</f>
        <v>4621551.3065499999</v>
      </c>
      <c r="E19" s="37">
        <f>SUMIF('1.Pozitia financiara'!$B:$B,$A19,'1.Pozitia financiara'!F:F)</f>
        <v>4796687</v>
      </c>
      <c r="F19" s="37">
        <f>SUMIF('1.Pozitia financiara'!$B:$B,$A19,'1.Pozitia financiara'!G:G)</f>
        <v>1093312</v>
      </c>
      <c r="G19" s="37"/>
      <c r="H19" s="37"/>
      <c r="I19" s="39">
        <f t="shared" si="10"/>
        <v>1093312</v>
      </c>
      <c r="J19" s="40">
        <f>RANK(I19,$I$16:$I$22,0)+COUNTIF($I19:I$22,I19)-1</f>
        <v>5</v>
      </c>
      <c r="K19" s="30"/>
      <c r="L19" s="29">
        <v>4</v>
      </c>
      <c r="M19" s="30"/>
      <c r="N19" s="10" t="str">
        <f t="shared" si="8"/>
        <v xml:space="preserve">Alte active curente financiare </v>
      </c>
      <c r="O19" s="10"/>
      <c r="P19" s="10"/>
      <c r="Q19" s="41">
        <f t="shared" si="11"/>
        <v>2833298</v>
      </c>
      <c r="R19" s="42">
        <f t="shared" si="12"/>
        <v>1.7955389864813112E-2</v>
      </c>
      <c r="AA19" s="20">
        <f t="shared" si="4"/>
        <v>17</v>
      </c>
      <c r="AB19" s="20" t="s">
        <v>67</v>
      </c>
      <c r="AC19" s="20" t="s">
        <v>5</v>
      </c>
      <c r="AD19" s="20" t="str">
        <f>IF(AB19=Grafice!$F$20,hiddenPage!AA19,"")</f>
        <v/>
      </c>
      <c r="AE19" s="20" t="e">
        <f>SMALL($AD$3:$AD$35,ROWS($AD$3:AD19))</f>
        <v>#NUM!</v>
      </c>
    </row>
    <row r="20" spans="1:32" x14ac:dyDescent="0.35">
      <c r="A20" s="22" t="str">
        <f t="shared" si="9"/>
        <v>Numerar şi conturi bancare</v>
      </c>
      <c r="B20" s="37">
        <f>SUMIF('1.Pozitia financiara'!$B:$B,$A20,'1.Pozitia financiara'!C:C)</f>
        <v>9849170.4968970008</v>
      </c>
      <c r="C20" s="37">
        <f>SUMIF('1.Pozitia financiara'!$B:$B,$A20,'1.Pozitia financiara'!D:D)</f>
        <v>20704631.823772997</v>
      </c>
      <c r="D20" s="37">
        <f>SUMIF('1.Pozitia financiara'!$B:$B,$A20,'1.Pozitia financiara'!E:E)</f>
        <v>17596892.999122001</v>
      </c>
      <c r="E20" s="37">
        <f>SUMIF('1.Pozitia financiara'!$B:$B,$A20,'1.Pozitia financiara'!F:F)</f>
        <v>73869061</v>
      </c>
      <c r="F20" s="37">
        <f>SUMIF('1.Pozitia financiara'!$B:$B,$A20,'1.Pozitia financiara'!G:G)</f>
        <v>33716158</v>
      </c>
      <c r="G20" s="37"/>
      <c r="H20" s="37"/>
      <c r="I20" s="39">
        <f t="shared" si="10"/>
        <v>33716158</v>
      </c>
      <c r="J20" s="40">
        <f>RANK(I20,$I$16:$I$22,0)+COUNTIF($I20:I$22,I20)-1</f>
        <v>3</v>
      </c>
      <c r="K20" s="30"/>
      <c r="L20" s="29">
        <v>5</v>
      </c>
      <c r="M20" s="30"/>
      <c r="N20" s="10" t="str">
        <f t="shared" si="8"/>
        <v>Alte active curente</v>
      </c>
      <c r="O20" s="10"/>
      <c r="P20" s="10"/>
      <c r="Q20" s="41">
        <f t="shared" si="11"/>
        <v>1093312</v>
      </c>
      <c r="R20" s="42">
        <f t="shared" si="12"/>
        <v>6.9286192994448713E-3</v>
      </c>
      <c r="AA20" s="20">
        <f t="shared" si="4"/>
        <v>18</v>
      </c>
      <c r="AB20" s="20" t="s">
        <v>69</v>
      </c>
      <c r="AC20" s="20" t="s">
        <v>68</v>
      </c>
      <c r="AD20" s="20" t="str">
        <f>IF(AB20=Grafice!$F$20,hiddenPage!AA20,"")</f>
        <v/>
      </c>
      <c r="AE20" s="20" t="e">
        <f>SMALL($AD$3:$AD$35,ROWS($AD$3:AD20))</f>
        <v>#NUM!</v>
      </c>
    </row>
    <row r="21" spans="1:32" x14ac:dyDescent="0.35">
      <c r="A21" s="22" t="str">
        <f t="shared" si="9"/>
        <v>Active imobilizante detinute in vederea vanzarii</v>
      </c>
      <c r="B21" s="37">
        <f>SUMIF('1.Pozitia financiara'!$B:$B,$A21,'1.Pozitia financiara'!C:C)</f>
        <v>6873002.5300000003</v>
      </c>
      <c r="C21" s="37">
        <f>SUMIF('1.Pozitia financiara'!$B:$B,$A21,'1.Pozitia financiara'!D:D)</f>
        <v>70844.84</v>
      </c>
      <c r="D21" s="37">
        <f>SUMIF('1.Pozitia financiara'!$B:$B,$A21,'1.Pozitia financiara'!E:E)</f>
        <v>3760155</v>
      </c>
      <c r="E21" s="37">
        <f>SUMIF('1.Pozitia financiara'!$B:$B,$A21,'1.Pozitia financiara'!F:F)</f>
        <v>3760155</v>
      </c>
      <c r="F21" s="37">
        <f>SUMIF('1.Pozitia financiara'!$B:$B,$A21,'1.Pozitia financiara'!G:G)</f>
        <v>0</v>
      </c>
      <c r="G21" s="37"/>
      <c r="H21" s="37"/>
      <c r="I21" s="39">
        <f t="shared" si="10"/>
        <v>0</v>
      </c>
      <c r="J21" s="40">
        <f>RANK(I21,$I$16:$I$22,0)+COUNTIF($I21:I$22,I21)-1</f>
        <v>7</v>
      </c>
      <c r="K21" s="30"/>
      <c r="L21" s="29">
        <v>6</v>
      </c>
      <c r="M21" s="30"/>
      <c r="N21" s="10" t="str">
        <f t="shared" si="8"/>
        <v/>
      </c>
      <c r="O21" s="10"/>
      <c r="P21" s="10"/>
      <c r="Q21" s="41">
        <f t="shared" si="11"/>
        <v>0</v>
      </c>
      <c r="R21" s="42">
        <f t="shared" si="12"/>
        <v>0</v>
      </c>
      <c r="AA21" s="20">
        <f t="shared" si="4"/>
        <v>19</v>
      </c>
      <c r="AB21" s="20" t="s">
        <v>69</v>
      </c>
      <c r="AC21" s="20" t="s">
        <v>147</v>
      </c>
      <c r="AD21" s="20" t="str">
        <f>IF(AB21=Grafice!$F$20,hiddenPage!AA21,"")</f>
        <v/>
      </c>
      <c r="AE21" s="20" t="e">
        <f>SMALL($AD$3:$AD$35,ROWS($AD$3:AD21))</f>
        <v>#NUM!</v>
      </c>
    </row>
    <row r="22" spans="1:32" x14ac:dyDescent="0.35">
      <c r="A22" s="22" t="str">
        <f t="shared" si="9"/>
        <v/>
      </c>
      <c r="B22" s="37">
        <f>SUMIF('1.Pozitia financiara'!$B:$B,$A22,'1.Pozitia financiara'!C:C)</f>
        <v>0</v>
      </c>
      <c r="C22" s="37">
        <f>SUMIF('1.Pozitia financiara'!$B:$B,$A22,'1.Pozitia financiara'!D:D)</f>
        <v>0</v>
      </c>
      <c r="D22" s="37">
        <f>SUMIF('1.Pozitia financiara'!$B:$B,$A22,'1.Pozitia financiara'!E:E)</f>
        <v>0</v>
      </c>
      <c r="E22" s="37">
        <f>SUMIF('1.Pozitia financiara'!$B:$B,$A22,'1.Pozitia financiara'!F:F)</f>
        <v>0</v>
      </c>
      <c r="F22" s="37">
        <f>SUMIF('1.Pozitia financiara'!$B:$B,$A22,'1.Pozitia financiara'!G:G)</f>
        <v>0</v>
      </c>
      <c r="G22" s="37"/>
      <c r="H22" s="37"/>
      <c r="I22" s="39">
        <f t="shared" si="10"/>
        <v>0</v>
      </c>
      <c r="J22" s="40">
        <f>RANK(I22,$I$16:$I$22,0)+COUNTIF($I22:I$22,I22)-1</f>
        <v>6</v>
      </c>
      <c r="K22" s="30"/>
      <c r="L22" s="29">
        <v>7</v>
      </c>
      <c r="M22" s="30"/>
      <c r="N22" s="10" t="str">
        <f t="shared" si="8"/>
        <v>Active imobilizante detinute in vederea vanzarii</v>
      </c>
      <c r="O22" s="10"/>
      <c r="P22" s="10"/>
      <c r="Q22" s="41">
        <f t="shared" si="11"/>
        <v>0</v>
      </c>
      <c r="R22" s="42">
        <f t="shared" si="12"/>
        <v>0</v>
      </c>
      <c r="AA22" s="20">
        <f t="shared" si="4"/>
        <v>20</v>
      </c>
      <c r="AB22" s="20" t="s">
        <v>69</v>
      </c>
      <c r="AC22" s="20" t="s">
        <v>148</v>
      </c>
      <c r="AD22" s="20" t="str">
        <f>IF(AB22=Grafice!$F$20,hiddenPage!AA22,"")</f>
        <v/>
      </c>
      <c r="AE22" s="20" t="e">
        <f>SMALL($AD$3:$AD$35,ROWS($AD$3:AD22))</f>
        <v>#NUM!</v>
      </c>
    </row>
    <row r="23" spans="1:32" x14ac:dyDescent="0.35">
      <c r="N23" s="29" t="str">
        <f>"Total  : "&amp;TEXT(Q23,"#,##0;[Red]-#,##0")&amp;" lei"</f>
        <v>Total  : 157,796,518 lei</v>
      </c>
      <c r="Q23" s="32">
        <f>SUM(Q16:Q22)</f>
        <v>157796518</v>
      </c>
      <c r="AA23" s="20">
        <f t="shared" si="4"/>
        <v>21</v>
      </c>
      <c r="AB23" s="20" t="s">
        <v>69</v>
      </c>
      <c r="AC23" s="20" t="s">
        <v>149</v>
      </c>
      <c r="AD23" s="20" t="str">
        <f>IF(AB23=Grafice!$F$20,hiddenPage!AA23,"")</f>
        <v/>
      </c>
      <c r="AE23" s="20" t="e">
        <f>SMALL($AD$3:$AD$35,ROWS($AD$3:AD23))</f>
        <v>#NUM!</v>
      </c>
    </row>
    <row r="24" spans="1:32" x14ac:dyDescent="0.35">
      <c r="B24" s="24">
        <f>B15</f>
        <v>2019</v>
      </c>
      <c r="C24" s="24">
        <f t="shared" ref="C24:F24" si="13">C15</f>
        <v>2020</v>
      </c>
      <c r="D24" s="24">
        <f t="shared" si="13"/>
        <v>2021</v>
      </c>
      <c r="E24" s="24">
        <f t="shared" si="13"/>
        <v>2022</v>
      </c>
      <c r="F24" s="24">
        <f t="shared" si="13"/>
        <v>2023</v>
      </c>
      <c r="G24" s="24"/>
      <c r="H24" s="24"/>
      <c r="I24" s="33" t="s">
        <v>8</v>
      </c>
      <c r="J24" s="22"/>
      <c r="AA24" s="20">
        <f t="shared" si="4"/>
        <v>22</v>
      </c>
      <c r="AB24" s="20" t="s">
        <v>70</v>
      </c>
      <c r="AC24" s="20" t="s">
        <v>150</v>
      </c>
      <c r="AD24" s="20" t="str">
        <f>IF(AB24=Grafice!$F$20,hiddenPage!AA24,"")</f>
        <v/>
      </c>
      <c r="AE24" s="20" t="e">
        <f>SMALL($AD$3:$AD$35,ROWS($AD$3:AD24))</f>
        <v>#NUM!</v>
      </c>
      <c r="AF24" s="20" t="str">
        <f t="shared" ref="AF24:AF31" si="14">IF(ISERROR(VLOOKUP(AE24,$AA$3:$AC$40,3,0)),"",VLOOKUP(AE24,$AA$3:$AC$40,3,0))</f>
        <v/>
      </c>
    </row>
    <row r="25" spans="1:32" x14ac:dyDescent="0.35">
      <c r="A25" s="23" t="str">
        <f>AF3</f>
        <v>Stocuri curente</v>
      </c>
      <c r="B25" s="25">
        <f>SUMIF('1.Pozitia financiara'!$B:$B,$A25,'1.Pozitia financiara'!C:C)</f>
        <v>45992536.542492926</v>
      </c>
      <c r="C25" s="25">
        <f>SUMIF('1.Pozitia financiara'!$B:$B,$A25,'1.Pozitia financiara'!D:D)</f>
        <v>39267786.496564828</v>
      </c>
      <c r="D25" s="25">
        <f>SUMIF('1.Pozitia financiara'!$B:$B,$A25,'1.Pozitia financiara'!E:E)</f>
        <v>54803658.57558158</v>
      </c>
      <c r="E25" s="25">
        <f>SUMIF('1.Pozitia financiara'!$B:$B,$A25,'1.Pozitia financiara'!F:F)</f>
        <v>65899751</v>
      </c>
      <c r="F25" s="25">
        <f>SUMIF('1.Pozitia financiara'!$B:$B,$A25,'1.Pozitia financiara'!G:G)</f>
        <v>59716567</v>
      </c>
      <c r="G25" s="25"/>
      <c r="H25" s="25"/>
      <c r="I25" s="35">
        <f>SUM(B25:H25)</f>
        <v>265680299.61463934</v>
      </c>
      <c r="J25" s="22">
        <f>IF(I25&gt;1,1,0)</f>
        <v>1</v>
      </c>
      <c r="AA25" s="20">
        <f t="shared" si="4"/>
        <v>23</v>
      </c>
      <c r="AB25" s="20" t="s">
        <v>70</v>
      </c>
      <c r="AC25" s="20" t="s">
        <v>151</v>
      </c>
      <c r="AD25" s="20" t="str">
        <f>IF(AB25=Grafice!$F$20,hiddenPage!AA25,"")</f>
        <v/>
      </c>
      <c r="AE25" s="20" t="e">
        <f>SMALL($AD$3:$AD$35,ROWS($AD$3:AD25))</f>
        <v>#NUM!</v>
      </c>
      <c r="AF25" s="20" t="str">
        <f t="shared" si="14"/>
        <v/>
      </c>
    </row>
    <row r="26" spans="1:32" x14ac:dyDescent="0.35">
      <c r="A26" s="23" t="str">
        <f t="shared" ref="A26:A31" si="15">AF4</f>
        <v>Creante comerciale si alte creante</v>
      </c>
      <c r="B26" s="25">
        <f>SUMIF('1.Pozitia financiara'!$B:$B,$A26,'1.Pozitia financiara'!C:C)</f>
        <v>34018157.702699974</v>
      </c>
      <c r="C26" s="25">
        <f>SUMIF('1.Pozitia financiara'!$B:$B,$A26,'1.Pozitia financiara'!D:D)</f>
        <v>36180344.175505936</v>
      </c>
      <c r="D26" s="25">
        <f>SUMIF('1.Pozitia financiara'!$B:$B,$A26,'1.Pozitia financiara'!E:E)</f>
        <v>53054233.585505947</v>
      </c>
      <c r="E26" s="25">
        <f>SUMIF('1.Pozitia financiara'!$B:$B,$A26,'1.Pozitia financiara'!F:F)</f>
        <v>60979526</v>
      </c>
      <c r="F26" s="25">
        <f>SUMIF('1.Pozitia financiara'!$B:$B,$A26,'1.Pozitia financiara'!G:G)</f>
        <v>60437183</v>
      </c>
      <c r="G26" s="25"/>
      <c r="H26" s="25"/>
      <c r="I26" s="35">
        <f t="shared" ref="I26:I30" si="16">SUM(B26:H26)</f>
        <v>244669444.46371186</v>
      </c>
      <c r="J26" s="22">
        <f t="shared" ref="J26:J31" si="17">IF(I26&gt;1,1,0)</f>
        <v>1</v>
      </c>
      <c r="AA26" s="20">
        <f t="shared" si="4"/>
        <v>24</v>
      </c>
      <c r="AB26" s="20" t="s">
        <v>70</v>
      </c>
      <c r="AC26" s="20" t="s">
        <v>152</v>
      </c>
      <c r="AD26" s="20" t="str">
        <f>IF(AB26=Grafice!$F$20,hiddenPage!AA26,"")</f>
        <v/>
      </c>
      <c r="AE26" s="20" t="e">
        <f>SMALL($AD$3:$AD$35,ROWS($AD$3:AD26))</f>
        <v>#NUM!</v>
      </c>
      <c r="AF26" s="20" t="str">
        <f t="shared" si="14"/>
        <v/>
      </c>
    </row>
    <row r="27" spans="1:32" x14ac:dyDescent="0.35">
      <c r="A27" s="23" t="str">
        <f t="shared" si="15"/>
        <v xml:space="preserve">Alte active curente financiare </v>
      </c>
      <c r="B27" s="25">
        <f>SUMIF('1.Pozitia financiara'!$B:$B,$A27,'1.Pozitia financiara'!C:C)</f>
        <v>2389649.9115479453</v>
      </c>
      <c r="C27" s="25">
        <f>SUMIF('1.Pozitia financiara'!$B:$B,$A27,'1.Pozitia financiara'!D:D)</f>
        <v>181047.34791506856</v>
      </c>
      <c r="D27" s="25">
        <f>SUMIF('1.Pozitia financiara'!$B:$B,$A27,'1.Pozitia financiara'!E:E)</f>
        <v>617901.78</v>
      </c>
      <c r="E27" s="25">
        <f>SUMIF('1.Pozitia financiara'!$B:$B,$A27,'1.Pozitia financiara'!F:F)</f>
        <v>263414</v>
      </c>
      <c r="F27" s="25">
        <f>SUMIF('1.Pozitia financiara'!$B:$B,$A27,'1.Pozitia financiara'!G:G)</f>
        <v>2833298</v>
      </c>
      <c r="G27" s="25"/>
      <c r="H27" s="25"/>
      <c r="I27" s="35">
        <f t="shared" si="16"/>
        <v>6285311.0394630143</v>
      </c>
      <c r="J27" s="22">
        <f t="shared" si="17"/>
        <v>1</v>
      </c>
      <c r="AA27" s="20">
        <f t="shared" si="4"/>
        <v>25</v>
      </c>
      <c r="AD27" s="20" t="str">
        <f>IF(AB27=Grafice!$F$20,hiddenPage!AA27,"")</f>
        <v/>
      </c>
      <c r="AE27" s="20" t="e">
        <f>SMALL($AD$3:$AD$35,ROWS($AD$3:AD27))</f>
        <v>#NUM!</v>
      </c>
      <c r="AF27" s="20" t="str">
        <f t="shared" si="14"/>
        <v/>
      </c>
    </row>
    <row r="28" spans="1:32" x14ac:dyDescent="0.35">
      <c r="A28" s="23" t="str">
        <f t="shared" si="15"/>
        <v>Alte active curente</v>
      </c>
      <c r="B28" s="25">
        <f>SUMIF('1.Pozitia financiara'!$B:$B,$A28,'1.Pozitia financiara'!C:C)</f>
        <v>1496725.5565500001</v>
      </c>
      <c r="C28" s="25">
        <f>SUMIF('1.Pozitia financiara'!$B:$B,$A28,'1.Pozitia financiara'!D:D)</f>
        <v>1236390.7065499998</v>
      </c>
      <c r="D28" s="25">
        <f>SUMIF('1.Pozitia financiara'!$B:$B,$A28,'1.Pozitia financiara'!E:E)</f>
        <v>4621551.3065499999</v>
      </c>
      <c r="E28" s="25">
        <f>SUMIF('1.Pozitia financiara'!$B:$B,$A28,'1.Pozitia financiara'!F:F)</f>
        <v>4796687</v>
      </c>
      <c r="F28" s="25">
        <f>SUMIF('1.Pozitia financiara'!$B:$B,$A28,'1.Pozitia financiara'!G:G)</f>
        <v>1093312</v>
      </c>
      <c r="G28" s="25"/>
      <c r="H28" s="25"/>
      <c r="I28" s="35">
        <f t="shared" si="16"/>
        <v>13244666.56965</v>
      </c>
      <c r="J28" s="22">
        <f t="shared" si="17"/>
        <v>1</v>
      </c>
      <c r="AA28" s="20">
        <f t="shared" si="4"/>
        <v>26</v>
      </c>
      <c r="AD28" s="20" t="str">
        <f>IF(AB28=Grafice!$F$20,hiddenPage!AA28,"")</f>
        <v/>
      </c>
      <c r="AE28" s="20" t="e">
        <f>SMALL($AD$3:$AD$35,ROWS($AD$3:AD28))</f>
        <v>#NUM!</v>
      </c>
      <c r="AF28" s="20" t="str">
        <f t="shared" si="14"/>
        <v/>
      </c>
    </row>
    <row r="29" spans="1:32" x14ac:dyDescent="0.35">
      <c r="A29" s="23" t="str">
        <f t="shared" si="15"/>
        <v>Numerar şi conturi bancare</v>
      </c>
      <c r="B29" s="25">
        <f>SUMIF('1.Pozitia financiara'!$B:$B,$A29,'1.Pozitia financiara'!C:C)</f>
        <v>9849170.4968970008</v>
      </c>
      <c r="C29" s="25">
        <f>SUMIF('1.Pozitia financiara'!$B:$B,$A29,'1.Pozitia financiara'!D:D)</f>
        <v>20704631.823772997</v>
      </c>
      <c r="D29" s="25">
        <f>SUMIF('1.Pozitia financiara'!$B:$B,$A29,'1.Pozitia financiara'!E:E)</f>
        <v>17596892.999122001</v>
      </c>
      <c r="E29" s="25">
        <f>SUMIF('1.Pozitia financiara'!$B:$B,$A29,'1.Pozitia financiara'!F:F)</f>
        <v>73869061</v>
      </c>
      <c r="F29" s="25">
        <f>SUMIF('1.Pozitia financiara'!$B:$B,$A29,'1.Pozitia financiara'!G:G)</f>
        <v>33716158</v>
      </c>
      <c r="G29" s="25"/>
      <c r="H29" s="25"/>
      <c r="I29" s="35">
        <f t="shared" si="16"/>
        <v>155735914.319792</v>
      </c>
      <c r="J29" s="22">
        <f t="shared" si="17"/>
        <v>1</v>
      </c>
      <c r="AA29" s="20">
        <f t="shared" si="4"/>
        <v>27</v>
      </c>
      <c r="AD29" s="20" t="str">
        <f>IF(AB29=Grafice!$F$20,hiddenPage!AA29,"")</f>
        <v/>
      </c>
      <c r="AE29" s="20" t="e">
        <f>SMALL($AD$3:$AD$35,ROWS($AD$3:AD29))</f>
        <v>#NUM!</v>
      </c>
      <c r="AF29" s="20" t="str">
        <f t="shared" si="14"/>
        <v/>
      </c>
    </row>
    <row r="30" spans="1:32" x14ac:dyDescent="0.35">
      <c r="A30" s="23" t="str">
        <f t="shared" si="15"/>
        <v>Active imobilizante detinute in vederea vanzarii</v>
      </c>
      <c r="B30" s="25">
        <f>SUMIF('1.Pozitia financiara'!$B:$B,$A30,'1.Pozitia financiara'!C:C)</f>
        <v>6873002.5300000003</v>
      </c>
      <c r="C30" s="25">
        <f>SUMIF('1.Pozitia financiara'!$B:$B,$A30,'1.Pozitia financiara'!D:D)</f>
        <v>70844.84</v>
      </c>
      <c r="D30" s="25">
        <f>SUMIF('1.Pozitia financiara'!$B:$B,$A30,'1.Pozitia financiara'!E:E)</f>
        <v>3760155</v>
      </c>
      <c r="E30" s="25">
        <f>SUMIF('1.Pozitia financiara'!$B:$B,$A30,'1.Pozitia financiara'!F:F)</f>
        <v>3760155</v>
      </c>
      <c r="F30" s="25">
        <f>SUMIF('1.Pozitia financiara'!$B:$B,$A30,'1.Pozitia financiara'!G:G)</f>
        <v>0</v>
      </c>
      <c r="G30" s="25"/>
      <c r="H30" s="25"/>
      <c r="I30" s="35">
        <f t="shared" si="16"/>
        <v>14464157.370000001</v>
      </c>
      <c r="J30" s="22">
        <f t="shared" si="17"/>
        <v>1</v>
      </c>
      <c r="AA30" s="20">
        <f t="shared" si="4"/>
        <v>28</v>
      </c>
      <c r="AD30" s="20" t="str">
        <f>IF(AB30=Grafice!$F$20,hiddenPage!AA30,"")</f>
        <v/>
      </c>
      <c r="AE30" s="20" t="e">
        <f>SMALL($AD$3:$AD$35,ROWS($AD$3:AD30))</f>
        <v>#NUM!</v>
      </c>
      <c r="AF30" s="20" t="str">
        <f t="shared" si="14"/>
        <v/>
      </c>
    </row>
    <row r="31" spans="1:32" x14ac:dyDescent="0.35">
      <c r="A31" s="23" t="str">
        <f t="shared" si="15"/>
        <v/>
      </c>
      <c r="B31" s="25">
        <f>SUMIF('1.Pozitia financiara'!$B:$B,$A31,'1.Pozitia financiara'!C:C)</f>
        <v>0</v>
      </c>
      <c r="C31" s="25">
        <f>SUMIF('1.Pozitia financiara'!$B:$B,$A31,'1.Pozitia financiara'!D:D)</f>
        <v>0</v>
      </c>
      <c r="D31" s="25">
        <f>SUMIF('1.Pozitia financiara'!$B:$B,$A31,'1.Pozitia financiara'!E:E)</f>
        <v>0</v>
      </c>
      <c r="E31" s="25">
        <f>SUMIF('1.Pozitia financiara'!$B:$B,$A31,'1.Pozitia financiara'!F:F)</f>
        <v>0</v>
      </c>
      <c r="F31" s="25">
        <f>SUMIF('1.Pozitia financiara'!$B:$B,$A31,'1.Pozitia financiara'!G:G)</f>
        <v>0</v>
      </c>
      <c r="G31" s="25"/>
      <c r="H31" s="25"/>
      <c r="I31" s="35">
        <f>SUM(B31:H31)</f>
        <v>0</v>
      </c>
      <c r="J31" s="22">
        <f t="shared" si="17"/>
        <v>0</v>
      </c>
      <c r="AA31" s="20">
        <f t="shared" si="4"/>
        <v>29</v>
      </c>
      <c r="AD31" s="20" t="str">
        <f>IF(AB31=Grafice!$F$20,hiddenPage!AA31,"")</f>
        <v/>
      </c>
      <c r="AE31" s="20" t="e">
        <f>SMALL($AD$3:$AD$35,ROWS($AD$3:AD31))</f>
        <v>#NUM!</v>
      </c>
      <c r="AF31" s="20" t="str">
        <f t="shared" si="14"/>
        <v/>
      </c>
    </row>
    <row r="32" spans="1:32" x14ac:dyDescent="0.35">
      <c r="A32" s="20" t="str">
        <f>Grafice!S20</f>
        <v>Total Activ</v>
      </c>
      <c r="D32" s="20" t="str">
        <f>"Evolutia indicatorului "&amp;A32&amp;" in perioada 2019-2023"</f>
        <v>Evolutia indicatorului Total Activ in perioada 2019-2023</v>
      </c>
      <c r="AA32" s="20">
        <f t="shared" si="4"/>
        <v>30</v>
      </c>
      <c r="AD32" s="20" t="str">
        <f>IF(AB32=Grafice!$F$20,hiddenPage!AA32,"")</f>
        <v/>
      </c>
      <c r="AE32" s="20" t="e">
        <f>SMALL($AD$3:$AD$35,ROWS($AD$3:AD32))</f>
        <v>#NUM!</v>
      </c>
    </row>
    <row r="33" spans="1:31" x14ac:dyDescent="0.35">
      <c r="A33" s="20">
        <v>2019</v>
      </c>
      <c r="B33" s="25">
        <f>SUMIF('1.Pozitia financiara'!$B:$B,hiddenPage!$A$32,'1.Pozitia financiara'!C:C)</f>
        <v>299023148.64086592</v>
      </c>
      <c r="C33" s="24"/>
      <c r="D33" s="26"/>
      <c r="E33" s="24"/>
      <c r="F33" s="24"/>
      <c r="G33" s="24"/>
      <c r="AA33" s="20">
        <f t="shared" si="4"/>
        <v>31</v>
      </c>
      <c r="AD33" s="20" t="str">
        <f>IF(AB33=Grafice!$F$20,hiddenPage!AA33,"")</f>
        <v/>
      </c>
      <c r="AE33" s="20" t="e">
        <f>SMALL($AD$3:$AD$35,ROWS($AD$3:AD33))</f>
        <v>#NUM!</v>
      </c>
    </row>
    <row r="34" spans="1:31" x14ac:dyDescent="0.35">
      <c r="A34" s="20">
        <f>A33+1</f>
        <v>2020</v>
      </c>
      <c r="B34" s="25">
        <f>SUMIF('1.Pozitia financiara'!$B:$B,hiddenPage!$A$32,'1.Pozitia financiara'!D:D)</f>
        <v>279516231.70793933</v>
      </c>
      <c r="C34" s="25"/>
      <c r="D34" s="26"/>
      <c r="E34" s="25"/>
      <c r="F34" s="25"/>
      <c r="G34" s="25"/>
      <c r="AA34" s="20">
        <f t="shared" si="4"/>
        <v>32</v>
      </c>
      <c r="AD34" s="20" t="str">
        <f>IF(AB34=Grafice!$F$20,hiddenPage!AA34,"")</f>
        <v/>
      </c>
      <c r="AE34" s="20" t="e">
        <f>SMALL($AD$3:$AD$35,ROWS($AD$3:AD34))</f>
        <v>#NUM!</v>
      </c>
    </row>
    <row r="35" spans="1:31" x14ac:dyDescent="0.35">
      <c r="A35" s="20">
        <f t="shared" ref="A35:A37" si="18">A34+1</f>
        <v>2021</v>
      </c>
      <c r="B35" s="25">
        <f>SUMIF('1.Pozitia financiara'!$B:$B,hiddenPage!$A$32,'1.Pozitia financiara'!E:E)</f>
        <v>301810410.94370812</v>
      </c>
      <c r="C35" s="25"/>
      <c r="D35" s="26"/>
      <c r="E35" s="25"/>
      <c r="F35" s="25"/>
      <c r="G35" s="25"/>
      <c r="AA35" s="20">
        <f t="shared" si="4"/>
        <v>33</v>
      </c>
      <c r="AD35" s="20" t="str">
        <f>IF(AB35=Grafice!$F$20,hiddenPage!AA35,"")</f>
        <v/>
      </c>
      <c r="AE35" s="20" t="e">
        <f>SMALL($AD$3:$AD$35,ROWS($AD$3:AD35))</f>
        <v>#NUM!</v>
      </c>
    </row>
    <row r="36" spans="1:31" x14ac:dyDescent="0.35">
      <c r="A36" s="20">
        <f t="shared" si="18"/>
        <v>2022</v>
      </c>
      <c r="B36" s="25">
        <f>SUMIF('1.Pozitia financiara'!$B:$B,hiddenPage!$A$32,'1.Pozitia financiara'!F:F)</f>
        <v>344111530</v>
      </c>
      <c r="C36" s="25"/>
      <c r="D36" s="26"/>
      <c r="E36" s="25"/>
      <c r="F36" s="25"/>
      <c r="G36" s="25"/>
      <c r="AA36" s="20">
        <f t="shared" si="4"/>
        <v>34</v>
      </c>
      <c r="AD36" s="20" t="str">
        <f>IF(AB36=Grafice!$F$20,hiddenPage!AA36,"")</f>
        <v/>
      </c>
      <c r="AE36" s="20" t="e">
        <f>SMALL($AD$3:$AD$35,ROWS($AD$3:AD36))</f>
        <v>#NUM!</v>
      </c>
    </row>
    <row r="37" spans="1:31" x14ac:dyDescent="0.35">
      <c r="A37" s="20">
        <f t="shared" si="18"/>
        <v>2023</v>
      </c>
      <c r="B37" s="25">
        <f>SUMIF('1.Pozitia financiara'!$B:$B,hiddenPage!$A$32,'1.Pozitia financiara'!G:G)</f>
        <v>292570833</v>
      </c>
      <c r="C37" s="25"/>
      <c r="D37" s="26"/>
      <c r="E37" s="25"/>
      <c r="F37" s="25"/>
      <c r="G37" s="25"/>
    </row>
    <row r="38" spans="1:31" x14ac:dyDescent="0.35">
      <c r="B38" s="25"/>
      <c r="C38" s="25"/>
      <c r="D38" s="26"/>
      <c r="E38" s="25"/>
      <c r="F38" s="25"/>
      <c r="G38" s="25"/>
    </row>
    <row r="39" spans="1:31" x14ac:dyDescent="0.35">
      <c r="B39" s="25"/>
      <c r="C39" s="25"/>
      <c r="D39" s="26"/>
      <c r="E39" s="25"/>
      <c r="F39" s="25"/>
      <c r="G39" s="25"/>
    </row>
    <row r="41" spans="1:31" x14ac:dyDescent="0.35">
      <c r="B41" s="30" t="s">
        <v>47</v>
      </c>
      <c r="C41" s="30" t="s">
        <v>48</v>
      </c>
      <c r="D41" s="30" t="s">
        <v>49</v>
      </c>
      <c r="E41" s="30" t="s">
        <v>50</v>
      </c>
      <c r="F41" s="30" t="s">
        <v>46</v>
      </c>
      <c r="G41" s="30" t="s">
        <v>51</v>
      </c>
    </row>
    <row r="42" spans="1:31" x14ac:dyDescent="0.35">
      <c r="A42" s="31"/>
      <c r="F42" s="32">
        <f>B33</f>
        <v>299023148.64086592</v>
      </c>
      <c r="G42" s="32">
        <f>F42</f>
        <v>299023148.64086592</v>
      </c>
    </row>
    <row r="43" spans="1:31" x14ac:dyDescent="0.35">
      <c r="A43" s="20">
        <v>2020</v>
      </c>
      <c r="B43" s="27">
        <f>SUM(B42,E42:F42)-D43</f>
        <v>279516231.70793933</v>
      </c>
      <c r="C43" s="27"/>
      <c r="D43" s="27">
        <f>IF(G43&lt;0,-G43,0)</f>
        <v>19506916.932926595</v>
      </c>
      <c r="E43" s="27">
        <f>IF(G43&gt;0,G43,0)</f>
        <v>0</v>
      </c>
      <c r="G43" s="32">
        <f>B34-B33</f>
        <v>-19506916.932926595</v>
      </c>
    </row>
    <row r="44" spans="1:31" x14ac:dyDescent="0.35">
      <c r="A44" s="20">
        <f>A43+1</f>
        <v>2021</v>
      </c>
      <c r="B44" s="27">
        <f t="shared" ref="B44:B46" si="19">SUM(B43,E43:F43)-D44</f>
        <v>279516231.70793933</v>
      </c>
      <c r="C44" s="27"/>
      <c r="D44" s="27">
        <f t="shared" ref="D44:D46" si="20">IF(G44&lt;0,-G44,0)</f>
        <v>0</v>
      </c>
      <c r="E44" s="27">
        <f t="shared" ref="E44:E46" si="21">IF(G44&gt;0,G44,0)</f>
        <v>22294179.235768795</v>
      </c>
      <c r="G44" s="32">
        <f t="shared" ref="G44:G46" si="22">B35-B34</f>
        <v>22294179.235768795</v>
      </c>
    </row>
    <row r="45" spans="1:31" x14ac:dyDescent="0.35">
      <c r="A45" s="20">
        <f t="shared" ref="A45:A46" si="23">A44+1</f>
        <v>2022</v>
      </c>
      <c r="B45" s="27">
        <f t="shared" si="19"/>
        <v>301810410.94370812</v>
      </c>
      <c r="C45" s="27"/>
      <c r="D45" s="27">
        <f t="shared" si="20"/>
        <v>0</v>
      </c>
      <c r="E45" s="27">
        <f t="shared" si="21"/>
        <v>42301119.056291878</v>
      </c>
      <c r="G45" s="32">
        <f t="shared" si="22"/>
        <v>42301119.056291878</v>
      </c>
    </row>
    <row r="46" spans="1:31" x14ac:dyDescent="0.35">
      <c r="A46" s="21">
        <f t="shared" si="23"/>
        <v>2023</v>
      </c>
      <c r="B46" s="27">
        <f t="shared" si="19"/>
        <v>292570833</v>
      </c>
      <c r="C46" s="27"/>
      <c r="D46" s="27">
        <f t="shared" si="20"/>
        <v>51540697</v>
      </c>
      <c r="E46" s="27">
        <f t="shared" si="21"/>
        <v>0</v>
      </c>
      <c r="G46" s="32">
        <f t="shared" si="22"/>
        <v>-51540697</v>
      </c>
    </row>
    <row r="47" spans="1:31" x14ac:dyDescent="0.35">
      <c r="C47" s="27">
        <f>SUM(B46,E46:F46)-D47</f>
        <v>292570833</v>
      </c>
    </row>
    <row r="50" spans="1:18" x14ac:dyDescent="0.35">
      <c r="B50" s="20">
        <f>IF('2.Sit.Rezultatului Global'!$T$30=B51,1,0)</f>
        <v>0</v>
      </c>
      <c r="C50" s="20">
        <f>IF('2.Sit.Rezultatului Global'!$T$30=C51,1,0)</f>
        <v>0</v>
      </c>
      <c r="D50" s="20">
        <f>IF('2.Sit.Rezultatului Global'!$T$30=D51,1,0)</f>
        <v>0</v>
      </c>
      <c r="E50" s="20">
        <f>IF('2.Sit.Rezultatului Global'!$T$30=E51,1,0)</f>
        <v>0</v>
      </c>
      <c r="F50" s="20">
        <f>IF('2.Sit.Rezultatului Global'!$T$30=F51,1,0)</f>
        <v>0</v>
      </c>
      <c r="G50" s="20">
        <f>IF('2.Sit.Rezultatului Global'!$T$30=G51,1,0)</f>
        <v>0</v>
      </c>
      <c r="H50" s="20">
        <f>IF('2.Sit.Rezultatului Global'!$T$30=H51,1,0)</f>
        <v>1</v>
      </c>
    </row>
    <row r="51" spans="1:18" x14ac:dyDescent="0.35">
      <c r="A51" s="30" t="s">
        <v>52</v>
      </c>
      <c r="B51" s="24"/>
      <c r="C51" s="24"/>
      <c r="D51" s="24">
        <v>2019</v>
      </c>
      <c r="E51" s="24">
        <f>D51+1</f>
        <v>2020</v>
      </c>
      <c r="F51" s="24">
        <f t="shared" ref="F51:H51" si="24">E51+1</f>
        <v>2021</v>
      </c>
      <c r="G51" s="24">
        <f t="shared" si="24"/>
        <v>2022</v>
      </c>
      <c r="H51" s="24">
        <f t="shared" si="24"/>
        <v>2023</v>
      </c>
      <c r="I51" s="30" t="s">
        <v>53</v>
      </c>
      <c r="J51" s="30" t="s">
        <v>54</v>
      </c>
      <c r="L51" s="29" t="s">
        <v>55</v>
      </c>
      <c r="N51" s="29" t="s">
        <v>56</v>
      </c>
      <c r="Q51" s="30" t="s">
        <v>57</v>
      </c>
      <c r="R51" s="30" t="s">
        <v>58</v>
      </c>
    </row>
    <row r="52" spans="1:18" x14ac:dyDescent="0.35">
      <c r="A52" s="10" t="s">
        <v>82</v>
      </c>
      <c r="B52" s="7"/>
      <c r="C52" s="7"/>
      <c r="D52" s="7">
        <v>183857279.63</v>
      </c>
      <c r="E52" s="7">
        <v>181146471.98999998</v>
      </c>
      <c r="F52" s="7">
        <v>264737647</v>
      </c>
      <c r="G52" s="16">
        <v>262801054</v>
      </c>
      <c r="H52" s="16">
        <v>214230854</v>
      </c>
      <c r="I52" s="34">
        <f>SUMPRODUCT($D$50:$H$50,D52:H52)</f>
        <v>214230854</v>
      </c>
      <c r="J52" s="32">
        <f>RANK(I52,$I$52:$I$58,0)+COUNTIF($I$52:I52,I52)-1</f>
        <v>1</v>
      </c>
      <c r="L52" s="29">
        <v>1</v>
      </c>
      <c r="N52" s="29" t="str">
        <f t="shared" ref="N52:N58" si="25">INDEX($A$52:$A$58,MATCH(L52,$J$52:$J$58,0))</f>
        <v>Romcarbon SA</v>
      </c>
      <c r="Q52" s="25">
        <f t="shared" ref="Q52:Q58" si="26">SUMIF($A$52:$A$58,N52,$I$52:$I$58)</f>
        <v>214230854</v>
      </c>
      <c r="R52" s="38">
        <f t="shared" ref="R52:R58" si="27">Q52/$Q$59</f>
        <v>0.60836556950281251</v>
      </c>
    </row>
    <row r="53" spans="1:18" x14ac:dyDescent="0.35">
      <c r="A53" s="10" t="s">
        <v>83</v>
      </c>
      <c r="B53" s="7"/>
      <c r="C53" s="7"/>
      <c r="D53" s="7">
        <v>90780619.179999992</v>
      </c>
      <c r="E53" s="7">
        <v>110666944.82000001</v>
      </c>
      <c r="F53" s="7">
        <v>133415290.42000002</v>
      </c>
      <c r="G53" s="16">
        <v>164064764.47999999</v>
      </c>
      <c r="H53" s="16">
        <v>115487833.52</v>
      </c>
      <c r="I53" s="34">
        <f t="shared" ref="I53:I58" si="28">SUMPRODUCT($D$50:$H$50,D53:H53)</f>
        <v>115487833.52</v>
      </c>
      <c r="J53" s="32">
        <f>RANK(I53,$I$52:$I$58,0)+COUNTIF($I$52:I53,I53)-1</f>
        <v>2</v>
      </c>
      <c r="L53" s="29">
        <f>L52+1</f>
        <v>2</v>
      </c>
      <c r="N53" s="29" t="str">
        <f t="shared" si="25"/>
        <v>LivingJumbo Industry SA</v>
      </c>
      <c r="Q53" s="25">
        <f t="shared" si="26"/>
        <v>115487833.52</v>
      </c>
      <c r="R53" s="38">
        <f t="shared" si="27"/>
        <v>0.32795846302344855</v>
      </c>
    </row>
    <row r="54" spans="1:18" x14ac:dyDescent="0.35">
      <c r="A54" s="10" t="s">
        <v>84</v>
      </c>
      <c r="B54" s="7"/>
      <c r="C54" s="7"/>
      <c r="D54" s="7">
        <v>9151339.8200000003</v>
      </c>
      <c r="E54" s="7">
        <v>7646081.7999999998</v>
      </c>
      <c r="F54" s="7">
        <v>11711050.470000001</v>
      </c>
      <c r="G54" s="16">
        <v>17005204.48</v>
      </c>
      <c r="H54" s="16">
        <v>20393925.700000003</v>
      </c>
      <c r="I54" s="34">
        <f t="shared" si="28"/>
        <v>20393925.700000003</v>
      </c>
      <c r="J54" s="32">
        <f>RANK(I54,$I$52:$I$58,0)+COUNTIF($I$52:I54,I54)-1</f>
        <v>3</v>
      </c>
      <c r="L54" s="29">
        <f t="shared" ref="L54:L58" si="29">L53+1</f>
        <v>3</v>
      </c>
      <c r="N54" s="29" t="str">
        <f t="shared" si="25"/>
        <v>RC Energo Install SRL</v>
      </c>
      <c r="Q54" s="25">
        <f t="shared" si="26"/>
        <v>20393925.700000003</v>
      </c>
      <c r="R54" s="38">
        <f t="shared" si="27"/>
        <v>5.7913983869375539E-2</v>
      </c>
    </row>
    <row r="55" spans="1:18" x14ac:dyDescent="0.35">
      <c r="A55" s="10" t="s">
        <v>85</v>
      </c>
      <c r="B55" s="7"/>
      <c r="C55" s="7"/>
      <c r="D55" s="7">
        <v>0</v>
      </c>
      <c r="E55" s="7">
        <v>0</v>
      </c>
      <c r="F55" s="7"/>
      <c r="G55" s="16">
        <v>0</v>
      </c>
      <c r="H55" s="16">
        <v>0</v>
      </c>
      <c r="I55" s="34">
        <f t="shared" si="28"/>
        <v>0</v>
      </c>
      <c r="J55" s="32">
        <f>RANK(I55,$I$52:$I$58,0)+COUNTIF($I$52:I55,I55)-1</f>
        <v>5</v>
      </c>
      <c r="L55" s="29">
        <f t="shared" si="29"/>
        <v>4</v>
      </c>
      <c r="N55" s="29" t="str">
        <f t="shared" si="25"/>
        <v>Info Tech Solutions SRL</v>
      </c>
      <c r="Q55" s="25">
        <f t="shared" si="26"/>
        <v>2029034.4</v>
      </c>
      <c r="R55" s="38">
        <f t="shared" si="27"/>
        <v>5.7619836043635315E-3</v>
      </c>
    </row>
    <row r="56" spans="1:18" x14ac:dyDescent="0.35">
      <c r="A56" s="10" t="s">
        <v>86</v>
      </c>
      <c r="B56" s="7"/>
      <c r="C56" s="7"/>
      <c r="D56" s="7">
        <v>976927.61999999988</v>
      </c>
      <c r="E56" s="7">
        <v>936533.44</v>
      </c>
      <c r="F56" s="7">
        <v>1071637.1499999999</v>
      </c>
      <c r="G56" s="16">
        <v>1124043.99</v>
      </c>
      <c r="H56" s="16">
        <v>2029034.4</v>
      </c>
      <c r="I56" s="34">
        <f t="shared" si="28"/>
        <v>2029034.4</v>
      </c>
      <c r="J56" s="32">
        <f>RANK(I56,$I$52:$I$58,0)+COUNTIF($I$52:I56,I56)-1</f>
        <v>4</v>
      </c>
      <c r="L56" s="29">
        <f t="shared" si="29"/>
        <v>5</v>
      </c>
      <c r="N56" s="29" t="str">
        <f t="shared" si="25"/>
        <v>Eco Pack Management SA</v>
      </c>
      <c r="Q56" s="25">
        <f t="shared" si="26"/>
        <v>0</v>
      </c>
      <c r="R56" s="38">
        <f t="shared" si="27"/>
        <v>0</v>
      </c>
    </row>
    <row r="57" spans="1:18" x14ac:dyDescent="0.35">
      <c r="A57" s="10" t="s">
        <v>87</v>
      </c>
      <c r="B57" s="7"/>
      <c r="C57" s="7"/>
      <c r="D57" s="7">
        <v>0</v>
      </c>
      <c r="E57" s="7">
        <v>0</v>
      </c>
      <c r="F57" s="7">
        <v>0</v>
      </c>
      <c r="G57" s="7"/>
      <c r="H57" s="16"/>
      <c r="I57" s="34">
        <f t="shared" si="28"/>
        <v>0</v>
      </c>
      <c r="J57" s="32">
        <f>RANK(I57,$I$52:$I$58,0)+COUNTIF($I$52:I57,I57)-1</f>
        <v>6</v>
      </c>
      <c r="L57" s="29">
        <f t="shared" si="29"/>
        <v>6</v>
      </c>
      <c r="N57" s="29" t="str">
        <f t="shared" si="25"/>
        <v>Next Eco Reciclyng SA</v>
      </c>
      <c r="Q57" s="25">
        <f t="shared" si="26"/>
        <v>0</v>
      </c>
      <c r="R57" s="38">
        <f t="shared" si="27"/>
        <v>0</v>
      </c>
    </row>
    <row r="58" spans="1:18" x14ac:dyDescent="0.35">
      <c r="A58" s="20" t="s">
        <v>88</v>
      </c>
      <c r="D58" s="7"/>
      <c r="E58" s="20">
        <v>0</v>
      </c>
      <c r="F58" s="20">
        <v>0</v>
      </c>
      <c r="H58" s="16"/>
      <c r="I58" s="34">
        <f t="shared" si="28"/>
        <v>0</v>
      </c>
      <c r="J58" s="32">
        <f>RANK(I58,$I$52:$I$58,0)+COUNTIF($I$52:I58,I58)-1</f>
        <v>7</v>
      </c>
      <c r="L58" s="29">
        <f t="shared" si="29"/>
        <v>7</v>
      </c>
      <c r="N58" s="29" t="str">
        <f t="shared" si="25"/>
        <v>Project Advice SRL</v>
      </c>
      <c r="Q58" s="25">
        <f t="shared" si="26"/>
        <v>0</v>
      </c>
      <c r="R58" s="38">
        <f t="shared" si="27"/>
        <v>0</v>
      </c>
    </row>
    <row r="59" spans="1:18" x14ac:dyDescent="0.35">
      <c r="Q59" s="32">
        <f>SUM(Q52:Q58)</f>
        <v>352141647.61999995</v>
      </c>
    </row>
    <row r="60" spans="1:18" x14ac:dyDescent="0.35">
      <c r="Q60" s="20" t="str">
        <f>"Total Venituri : "&amp;TEXT(Q59,"#,##0;[Red]-#,##0")&amp;"  lei"</f>
        <v>Total Venituri : 352,141,648  lei</v>
      </c>
    </row>
    <row r="62" spans="1:18" x14ac:dyDescent="0.35">
      <c r="A62" s="30"/>
      <c r="B62" s="57">
        <f>B15</f>
        <v>2019</v>
      </c>
      <c r="C62" s="57">
        <f t="shared" ref="C62:F62" si="30">C15</f>
        <v>2020</v>
      </c>
      <c r="D62" s="57">
        <f t="shared" si="30"/>
        <v>2021</v>
      </c>
      <c r="E62" s="57">
        <f t="shared" si="30"/>
        <v>2022</v>
      </c>
      <c r="F62" s="57">
        <f t="shared" si="30"/>
        <v>2023</v>
      </c>
      <c r="Q62" s="20" t="str">
        <f>"Structura veniturilor (vanzarilor) pe firme in "&amp;'2.Sit.Rezultatului Global'!T30</f>
        <v>Structura veniturilor (vanzarilor) pe firme in 2023</v>
      </c>
    </row>
    <row r="63" spans="1:18" x14ac:dyDescent="0.35">
      <c r="A63" s="58" t="str">
        <f>A10</f>
        <v>Active pe termen lung</v>
      </c>
      <c r="B63" s="59">
        <f>B10/B$12</f>
        <v>0.66350684487964517</v>
      </c>
      <c r="C63" s="59">
        <f t="shared" ref="C63:F64" si="31">C10/C$12</f>
        <v>0.65067844255881369</v>
      </c>
      <c r="D63" s="59">
        <f t="shared" si="31"/>
        <v>0.5545071065429974</v>
      </c>
      <c r="E63" s="59">
        <f t="shared" si="31"/>
        <v>0.39098642233812975</v>
      </c>
      <c r="F63" s="59">
        <f t="shared" si="31"/>
        <v>0.46065533470316911</v>
      </c>
    </row>
    <row r="64" spans="1:18" x14ac:dyDescent="0.35">
      <c r="A64" s="58" t="str">
        <f>A11</f>
        <v>Active curente</v>
      </c>
      <c r="B64" s="59">
        <f>B11/B$12</f>
        <v>0.33649315512035488</v>
      </c>
      <c r="C64" s="59">
        <f t="shared" si="31"/>
        <v>0.3493215574411862</v>
      </c>
      <c r="D64" s="59">
        <f t="shared" si="31"/>
        <v>0.4454928934570026</v>
      </c>
      <c r="E64" s="59">
        <f t="shared" si="31"/>
        <v>0.60901357766187025</v>
      </c>
      <c r="F64" s="59">
        <f t="shared" si="31"/>
        <v>0.53934466529683089</v>
      </c>
    </row>
    <row r="65" spans="1:6" x14ac:dyDescent="0.35">
      <c r="A65" s="30"/>
      <c r="B65" s="30"/>
      <c r="C65" s="30"/>
      <c r="D65" s="30"/>
      <c r="E65" s="30"/>
      <c r="F65" s="30"/>
    </row>
    <row r="66" spans="1:6" x14ac:dyDescent="0.35">
      <c r="A66" s="30" t="str">
        <f>"Total "&amp;Grafice!N2</f>
        <v>Total Active</v>
      </c>
      <c r="B66" s="30"/>
      <c r="C66" s="30"/>
      <c r="D66" s="30"/>
      <c r="E66" s="30"/>
      <c r="F66" s="3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S56"/>
  <sheetViews>
    <sheetView showGridLines="0" zoomScale="96" zoomScaleNormal="96" workbookViewId="0">
      <selection activeCell="F27" sqref="F27"/>
    </sheetView>
  </sheetViews>
  <sheetFormatPr defaultColWidth="9.08984375" defaultRowHeight="15" x14ac:dyDescent="0.35"/>
  <cols>
    <col min="1" max="1" width="3" style="107" customWidth="1"/>
    <col min="2" max="2" width="2" style="107" customWidth="1"/>
    <col min="3" max="3" width="39.90625" style="107" customWidth="1"/>
    <col min="4" max="4" width="13.1796875" style="107" bestFit="1" customWidth="1"/>
    <col min="5" max="6" width="13.453125" style="107" bestFit="1" customWidth="1"/>
    <col min="7" max="7" width="13.08984375" style="107" bestFit="1" customWidth="1"/>
    <col min="8" max="8" width="13.453125" style="107" bestFit="1" customWidth="1"/>
    <col min="9" max="9" width="3.08984375" style="108" bestFit="1" customWidth="1"/>
    <col min="10" max="10" width="13" style="107" bestFit="1" customWidth="1"/>
    <col min="11" max="11" width="6.453125" style="107" bestFit="1" customWidth="1"/>
    <col min="12" max="18" width="9.08984375" style="107"/>
    <col min="19" max="19" width="0" style="107" hidden="1" customWidth="1"/>
    <col min="20" max="20" width="9.08984375" style="107"/>
    <col min="21" max="21" width="3.1796875" style="107" customWidth="1"/>
    <col min="22" max="16384" width="9.08984375" style="107"/>
  </cols>
  <sheetData>
    <row r="2" spans="3:19" x14ac:dyDescent="0.35">
      <c r="C2" s="107" t="s">
        <v>160</v>
      </c>
      <c r="H2" s="117"/>
    </row>
    <row r="3" spans="3:19" ht="24.5" customHeight="1" x14ac:dyDescent="0.35">
      <c r="C3" s="184" t="s">
        <v>0</v>
      </c>
      <c r="D3" s="185">
        <v>2019</v>
      </c>
      <c r="E3" s="185">
        <f>D3+1</f>
        <v>2020</v>
      </c>
      <c r="F3" s="185">
        <f t="shared" ref="F3:H3" si="0">E3+1</f>
        <v>2021</v>
      </c>
      <c r="G3" s="185">
        <f t="shared" si="0"/>
        <v>2022</v>
      </c>
      <c r="H3" s="185">
        <f t="shared" si="0"/>
        <v>2023</v>
      </c>
      <c r="I3" s="223" t="str">
        <f>CONCATENATE(H3," vs. ",G3)</f>
        <v>2023 vs. 2022</v>
      </c>
      <c r="J3" s="223"/>
      <c r="K3" s="223"/>
    </row>
    <row r="4" spans="3:19" ht="14.5" x14ac:dyDescent="0.35">
      <c r="C4" s="202" t="s">
        <v>74</v>
      </c>
      <c r="D4" s="99">
        <f>'2.Sit.Rezultatului Global'!C4</f>
        <v>247889050.57413402</v>
      </c>
      <c r="E4" s="99">
        <f>'2.Sit.Rezultatului Global'!D4</f>
        <v>256828357.77874568</v>
      </c>
      <c r="F4" s="99">
        <f>'2.Sit.Rezultatului Global'!E4</f>
        <v>341319436</v>
      </c>
      <c r="G4" s="99">
        <f>'2.Sit.Rezultatului Global'!F4</f>
        <v>381985677</v>
      </c>
      <c r="H4" s="186">
        <f>'2.Sit.Rezultatului Global'!G4</f>
        <v>304683985</v>
      </c>
      <c r="I4" s="79" t="str">
        <f>IF(H4+G4&gt;0,IF(H4&gt;G4,"▲",IF(H4=G4,"▬","▼")),IF(H4&gt;G4,"▼",IF(H4=G4,"▬","▲")))</f>
        <v>▼</v>
      </c>
      <c r="J4" s="99">
        <f>H4-G4</f>
        <v>-77301692</v>
      </c>
      <c r="K4" s="101">
        <f>H4/G4-1</f>
        <v>-0.20236803800368675</v>
      </c>
      <c r="S4" s="109">
        <f>H4/D4-1</f>
        <v>0.22911433278042592</v>
      </c>
    </row>
    <row r="5" spans="3:19" ht="14.5" x14ac:dyDescent="0.35">
      <c r="C5" s="202" t="s">
        <v>9</v>
      </c>
      <c r="D5" s="99">
        <f>'2.Sit.Rezultatului Global'!C5</f>
        <v>4779505.25</v>
      </c>
      <c r="E5" s="99">
        <f>'2.Sit.Rezultatului Global'!D5</f>
        <v>4418916.3899999997</v>
      </c>
      <c r="F5" s="99">
        <f>'2.Sit.Rezultatului Global'!E5</f>
        <v>4291042</v>
      </c>
      <c r="G5" s="99">
        <f>'2.Sit.Rezultatului Global'!F5</f>
        <v>4287141</v>
      </c>
      <c r="H5" s="186">
        <f>'2.Sit.Rezultatului Global'!G5</f>
        <v>4103607</v>
      </c>
      <c r="I5" s="79" t="str">
        <f>IF(H5+G5&gt;0,IF(H5&gt;G5,"▲",IF(H5=G5,"▬","▼")),IF(H5&gt;G5,"▼",IF(H5=G5,"▬","▲")))</f>
        <v>▼</v>
      </c>
      <c r="J5" s="99">
        <f>H5-G5</f>
        <v>-183534</v>
      </c>
      <c r="K5" s="101">
        <f>H5/G5-1</f>
        <v>-4.2810348435005974E-2</v>
      </c>
      <c r="S5" s="109"/>
    </row>
    <row r="6" spans="3:19" ht="14.5" x14ac:dyDescent="0.35">
      <c r="C6" s="202" t="s">
        <v>137</v>
      </c>
      <c r="D6" s="99">
        <f>'2.Sit.Rezultatului Global'!C16</f>
        <v>-68054.144101487836</v>
      </c>
      <c r="E6" s="99">
        <f>'2.Sit.Rezultatului Global'!D16</f>
        <v>-2564548.57495239</v>
      </c>
      <c r="F6" s="99">
        <f>'2.Sit.Rezultatului Global'!E16</f>
        <v>-1144984.9882143368</v>
      </c>
      <c r="G6" s="99">
        <f>'2.Sit.Rezultatului Global'!F16</f>
        <v>2402565.1812179028</v>
      </c>
      <c r="H6" s="186">
        <f>'2.Sit.Rezultatului Global'!G16</f>
        <v>0</v>
      </c>
      <c r="I6" s="79" t="str">
        <f t="shared" ref="I6:I14" si="1">IF(H6+G6&gt;0,IF(H6&gt;G6,"▲",IF(H6=G6,"▬","▼")),IF(H6&gt;G6,"▼",IF(H6=G6,"▬","▲")))</f>
        <v>▼</v>
      </c>
      <c r="J6" s="99">
        <f t="shared" ref="J6:J14" si="2">H6-G6</f>
        <v>-2402565.1812179028</v>
      </c>
      <c r="K6" s="101">
        <f t="shared" ref="K6:K14" si="3">H6/G6-1</f>
        <v>-1</v>
      </c>
    </row>
    <row r="7" spans="3:19" thickBot="1" x14ac:dyDescent="0.4">
      <c r="C7" s="202" t="s">
        <v>11</v>
      </c>
      <c r="D7" s="100">
        <f>'EBIT-EBITDA'!C10</f>
        <v>12097143.408414671</v>
      </c>
      <c r="E7" s="100">
        <f>'EBIT-EBITDA'!D10</f>
        <v>13462961.705321504</v>
      </c>
      <c r="F7" s="100">
        <f>'EBIT-EBITDA'!E10</f>
        <v>15528593.601787373</v>
      </c>
      <c r="G7" s="100">
        <f>'EBIT-EBITDA'!F10</f>
        <v>70401193.153695643</v>
      </c>
      <c r="H7" s="186">
        <f>'EBIT-EBITDA'!G10</f>
        <v>8949657.4899999984</v>
      </c>
      <c r="I7" s="79" t="str">
        <f t="shared" si="1"/>
        <v>▼</v>
      </c>
      <c r="J7" s="99">
        <f>H7-G7</f>
        <v>-61451535.663695648</v>
      </c>
      <c r="K7" s="101">
        <f t="shared" si="3"/>
        <v>-0.87287633789868235</v>
      </c>
    </row>
    <row r="8" spans="3:19" thickBot="1" x14ac:dyDescent="0.4">
      <c r="C8" s="233" t="s">
        <v>155</v>
      </c>
      <c r="D8" s="102">
        <v>12530438.116392579</v>
      </c>
      <c r="E8" s="102">
        <v>17752991.620273903</v>
      </c>
      <c r="F8" s="102">
        <v>16824567.811731935</v>
      </c>
      <c r="G8" s="102">
        <v>24700499.060582638</v>
      </c>
      <c r="H8" s="187">
        <v>5210408.0801220527</v>
      </c>
      <c r="I8" s="103" t="str">
        <f t="shared" si="1"/>
        <v>▼</v>
      </c>
      <c r="J8" s="104">
        <f t="shared" ref="J8" si="4">H8-G8</f>
        <v>-19490090.980460584</v>
      </c>
      <c r="K8" s="105">
        <f t="shared" si="3"/>
        <v>-0.78905656653565814</v>
      </c>
    </row>
    <row r="9" spans="3:19" thickBot="1" x14ac:dyDescent="0.4">
      <c r="C9" s="202" t="s">
        <v>113</v>
      </c>
      <c r="D9" s="100">
        <f>'2.Sit.Rezultatului Global'!C19</f>
        <v>-2617101.3881606706</v>
      </c>
      <c r="E9" s="100">
        <f>'2.Sit.Rezultatului Global'!D19</f>
        <v>-83965.634678496048</v>
      </c>
      <c r="F9" s="100">
        <f>'2.Sit.Rezultatului Global'!E19</f>
        <v>1790612.1117873723</v>
      </c>
      <c r="G9" s="100">
        <f>'2.Sit.Rezultatului Global'!F19</f>
        <v>56124754.813695632</v>
      </c>
      <c r="H9" s="186">
        <f>'2.Sit.Rezultatului Global'!G19</f>
        <v>-5135847</v>
      </c>
      <c r="I9" s="79" t="str">
        <f>IF(H9+G9&gt;0,IF(H9&gt;G9,"▲",IF(H9=G9,"▬","▼")),IF(H9&gt;G9,"▼",IF(H9=G9,"▬","▲")))</f>
        <v>▼</v>
      </c>
      <c r="J9" s="99">
        <f t="shared" si="2"/>
        <v>-61260601.813695632</v>
      </c>
      <c r="K9" s="101">
        <f t="shared" si="3"/>
        <v>-1.0915076959720944</v>
      </c>
    </row>
    <row r="10" spans="3:19" ht="29.5" thickBot="1" x14ac:dyDescent="0.4">
      <c r="C10" s="234" t="s">
        <v>179</v>
      </c>
      <c r="D10" s="112">
        <f>D9-D6</f>
        <v>-2549047.2440591827</v>
      </c>
      <c r="E10" s="112">
        <f t="shared" ref="E10:G10" si="5">E9-E6</f>
        <v>2480582.940273894</v>
      </c>
      <c r="F10" s="112">
        <f t="shared" si="5"/>
        <v>2935597.1000017091</v>
      </c>
      <c r="G10" s="112">
        <f t="shared" si="5"/>
        <v>53722189.632477731</v>
      </c>
      <c r="H10" s="188">
        <f>H9-H6-'2.Sit.Rezultatului Global'!G14</f>
        <v>-5135847</v>
      </c>
      <c r="I10" s="113" t="str">
        <f>IF(H10+G10&gt;0,IF(H10&gt;G10,"▲",IF(H10=G10,"▬","▼")),IF(H10&gt;G10,"▼",IF(H10=G10,"▬","▲")))</f>
        <v>▼</v>
      </c>
      <c r="J10" s="112">
        <f>H10-G10</f>
        <v>-58858036.632477731</v>
      </c>
      <c r="K10" s="114">
        <f t="shared" ref="K10" si="6">H10/G10-1</f>
        <v>-1.0956001055641098</v>
      </c>
    </row>
    <row r="11" spans="3:19" ht="14.5" x14ac:dyDescent="0.35">
      <c r="C11" s="202" t="s">
        <v>61</v>
      </c>
      <c r="D11" s="100">
        <f>'1.Pozitia financiara'!C11</f>
        <v>198403905.9006781</v>
      </c>
      <c r="E11" s="100">
        <f>'1.Pozitia financiara'!D11</f>
        <v>181875186.31763047</v>
      </c>
      <c r="F11" s="100">
        <f>'1.Pozitia financiara'!E11</f>
        <v>167356017.69694859</v>
      </c>
      <c r="G11" s="100">
        <f>'1.Pozitia financiara'!F11</f>
        <v>134542936</v>
      </c>
      <c r="H11" s="186">
        <f>'1.Pozitia financiara'!G11</f>
        <v>134774315</v>
      </c>
      <c r="I11" s="79" t="str">
        <f t="shared" si="1"/>
        <v>▲</v>
      </c>
      <c r="J11" s="99">
        <f t="shared" si="2"/>
        <v>231379</v>
      </c>
      <c r="K11" s="101">
        <f t="shared" si="3"/>
        <v>1.7197409754756698E-3</v>
      </c>
    </row>
    <row r="12" spans="3:19" ht="14.5" x14ac:dyDescent="0.35">
      <c r="C12" s="202" t="s">
        <v>63</v>
      </c>
      <c r="D12" s="100">
        <f>'1.Pozitia financiara'!C18</f>
        <v>100619242.74018784</v>
      </c>
      <c r="E12" s="100">
        <f>'1.Pozitia financiara'!D18</f>
        <v>97641045.390308842</v>
      </c>
      <c r="F12" s="100">
        <f>'1.Pozitia financiara'!E18</f>
        <v>134454393.24675953</v>
      </c>
      <c r="G12" s="100">
        <f>'1.Pozitia financiara'!F18</f>
        <v>209568594</v>
      </c>
      <c r="H12" s="186">
        <f>'1.Pozitia financiara'!G18</f>
        <v>157796518</v>
      </c>
      <c r="I12" s="79" t="str">
        <f t="shared" si="1"/>
        <v>▼</v>
      </c>
      <c r="J12" s="99">
        <f t="shared" si="2"/>
        <v>-51772076</v>
      </c>
      <c r="K12" s="101">
        <f t="shared" si="3"/>
        <v>-0.2470411954951609</v>
      </c>
    </row>
    <row r="13" spans="3:19" ht="14.5" x14ac:dyDescent="0.35">
      <c r="C13" s="202" t="s">
        <v>67</v>
      </c>
      <c r="D13" s="100">
        <f>'1.Pozitia financiara'!C26</f>
        <v>139561139.43203726</v>
      </c>
      <c r="E13" s="100">
        <f>'1.Pozitia financiara'!D26</f>
        <v>139711610.03498155</v>
      </c>
      <c r="F13" s="100">
        <f>'1.Pozitia financiara'!E26</f>
        <v>138920166.01707643</v>
      </c>
      <c r="G13" s="100">
        <f>'1.Pozitia financiara'!F26</f>
        <v>169680251</v>
      </c>
      <c r="H13" s="186">
        <f>'1.Pozitia financiara'!G26</f>
        <v>152044804</v>
      </c>
      <c r="I13" s="79" t="str">
        <f t="shared" si="1"/>
        <v>▼</v>
      </c>
      <c r="J13" s="99">
        <f>H13-G13</f>
        <v>-17635447</v>
      </c>
      <c r="K13" s="101">
        <f t="shared" si="3"/>
        <v>-0.10393340943372364</v>
      </c>
    </row>
    <row r="14" spans="3:19" ht="14.5" x14ac:dyDescent="0.35">
      <c r="C14" s="202" t="s">
        <v>112</v>
      </c>
      <c r="D14" s="100">
        <f>'1.Pozitia financiara'!C36</f>
        <v>159462009.20966482</v>
      </c>
      <c r="E14" s="100">
        <f>'1.Pozitia financiara'!D36</f>
        <v>139804622.02184984</v>
      </c>
      <c r="F14" s="100">
        <f>'1.Pozitia financiara'!E36</f>
        <v>162890245.33184984</v>
      </c>
      <c r="G14" s="100">
        <f>'1.Pozitia financiara'!F36</f>
        <v>174431279</v>
      </c>
      <c r="H14" s="186">
        <f>'1.Pozitia financiara'!G36</f>
        <v>140526029</v>
      </c>
      <c r="I14" s="79" t="str">
        <f t="shared" si="1"/>
        <v>▼</v>
      </c>
      <c r="J14" s="99">
        <f t="shared" si="2"/>
        <v>-33905250</v>
      </c>
      <c r="K14" s="101">
        <f t="shared" si="3"/>
        <v>-0.19437597542353624</v>
      </c>
    </row>
    <row r="15" spans="3:19" ht="14.5" x14ac:dyDescent="0.35">
      <c r="C15" s="202" t="s">
        <v>156</v>
      </c>
      <c r="D15" s="106">
        <f>D14/(D11+D12)</f>
        <v>0.53327647018118507</v>
      </c>
      <c r="E15" s="106">
        <f t="shared" ref="E15:H15" si="7">E14/(E11+E12)</f>
        <v>0.50016638092033516</v>
      </c>
      <c r="F15" s="106">
        <f t="shared" si="7"/>
        <v>0.53971049183664899</v>
      </c>
      <c r="G15" s="106">
        <f t="shared" si="7"/>
        <v>0.50690332579091435</v>
      </c>
      <c r="H15" s="189">
        <f t="shared" si="7"/>
        <v>0.48031455343328772</v>
      </c>
      <c r="I15" s="79" t="str">
        <f t="shared" ref="I15:I16" si="8">IF(H15+G15&gt;0,IF(H15&gt;G15,"▲",IF(H15=G15,"▬","▼")),IF(H15&gt;G15,"▼",IF(H15=G15,"▬","▲")))</f>
        <v>▼</v>
      </c>
      <c r="J15" s="99">
        <f t="shared" ref="J15:J16" si="9">H15-G15</f>
        <v>-2.6588772357626633E-2</v>
      </c>
      <c r="K15" s="101">
        <f t="shared" ref="K15:K16" si="10">H15/G15-1</f>
        <v>-5.2453339729307435E-2</v>
      </c>
    </row>
    <row r="16" spans="3:19" ht="14.5" x14ac:dyDescent="0.35">
      <c r="C16" s="202" t="s">
        <v>157</v>
      </c>
      <c r="D16" s="106">
        <f>D12/'1.Pozitia financiara'!C35</f>
        <v>0.96908389569505138</v>
      </c>
      <c r="E16" s="106">
        <f>E12/'1.Pozitia financiara'!D35</f>
        <v>1.0399764471372528</v>
      </c>
      <c r="F16" s="106">
        <f>F12/'1.Pozitia financiara'!E35</f>
        <v>1.0296791115725874</v>
      </c>
      <c r="G16" s="106">
        <f>G12/'1.Pozitia financiara'!F35</f>
        <v>1.4179945233256319</v>
      </c>
      <c r="H16" s="189">
        <f>H12/'1.Pozitia financiara'!G35</f>
        <v>1.3835630589700565</v>
      </c>
      <c r="I16" s="79" t="str">
        <f t="shared" si="8"/>
        <v>▼</v>
      </c>
      <c r="J16" s="99">
        <f t="shared" si="9"/>
        <v>-3.4431464355575425E-2</v>
      </c>
      <c r="K16" s="101">
        <f t="shared" si="10"/>
        <v>-2.4281803483149678E-2</v>
      </c>
    </row>
    <row r="17" spans="3:11" x14ac:dyDescent="0.35">
      <c r="C17" s="169" t="s">
        <v>180</v>
      </c>
    </row>
    <row r="18" spans="3:11" ht="15" customHeight="1" x14ac:dyDescent="0.35">
      <c r="C18" s="224" t="s">
        <v>159</v>
      </c>
      <c r="D18" s="224"/>
      <c r="E18" s="224"/>
      <c r="F18" s="224"/>
      <c r="G18" s="224"/>
      <c r="H18" s="224"/>
      <c r="I18" s="224"/>
      <c r="J18" s="224"/>
      <c r="K18" s="224"/>
    </row>
    <row r="19" spans="3:11" ht="15" customHeight="1" x14ac:dyDescent="0.35">
      <c r="C19" s="224"/>
      <c r="D19" s="224"/>
      <c r="E19" s="224"/>
      <c r="F19" s="224"/>
      <c r="G19" s="224"/>
      <c r="H19" s="224"/>
      <c r="I19" s="224"/>
      <c r="J19" s="224"/>
      <c r="K19" s="224"/>
    </row>
    <row r="20" spans="3:11" ht="15" customHeight="1" x14ac:dyDescent="0.35">
      <c r="C20" s="225" t="s">
        <v>158</v>
      </c>
      <c r="D20" s="225"/>
      <c r="E20" s="225"/>
      <c r="F20" s="225"/>
      <c r="G20" s="225"/>
      <c r="H20" s="225"/>
      <c r="I20" s="225"/>
      <c r="J20" s="225"/>
      <c r="K20" s="225"/>
    </row>
    <row r="21" spans="3:11" ht="15" customHeight="1" x14ac:dyDescent="0.35">
      <c r="C21" s="225"/>
      <c r="D21" s="225"/>
      <c r="E21" s="225"/>
      <c r="F21" s="225"/>
      <c r="G21" s="225"/>
      <c r="H21" s="225"/>
      <c r="I21" s="225"/>
      <c r="J21" s="225"/>
      <c r="K21" s="225"/>
    </row>
    <row r="23" spans="3:11" x14ac:dyDescent="0.35">
      <c r="E23" s="118"/>
      <c r="F23" s="118"/>
      <c r="G23" s="118"/>
      <c r="H23" s="118"/>
    </row>
    <row r="38" spans="6:8" x14ac:dyDescent="0.35">
      <c r="F38" s="118"/>
      <c r="G38" s="118"/>
      <c r="H38" s="118"/>
    </row>
    <row r="39" spans="6:8" x14ac:dyDescent="0.35">
      <c r="F39" s="118"/>
      <c r="G39" s="118"/>
      <c r="H39" s="118"/>
    </row>
    <row r="40" spans="6:8" x14ac:dyDescent="0.35">
      <c r="F40" s="118"/>
      <c r="G40" s="118"/>
      <c r="H40" s="118"/>
    </row>
    <row r="41" spans="6:8" x14ac:dyDescent="0.35">
      <c r="F41" s="118"/>
      <c r="G41" s="118"/>
      <c r="H41" s="118"/>
    </row>
    <row r="42" spans="6:8" x14ac:dyDescent="0.35">
      <c r="F42" s="118"/>
      <c r="G42" s="118"/>
      <c r="H42" s="118"/>
    </row>
    <row r="43" spans="6:8" x14ac:dyDescent="0.35">
      <c r="F43" s="118"/>
      <c r="G43" s="118"/>
      <c r="H43" s="118"/>
    </row>
    <row r="44" spans="6:8" x14ac:dyDescent="0.35">
      <c r="F44" s="118"/>
      <c r="G44" s="118"/>
      <c r="H44" s="118"/>
    </row>
    <row r="45" spans="6:8" x14ac:dyDescent="0.35">
      <c r="F45" s="118"/>
      <c r="G45" s="118"/>
      <c r="H45" s="118"/>
    </row>
    <row r="46" spans="6:8" x14ac:dyDescent="0.35">
      <c r="F46" s="118"/>
      <c r="G46" s="118"/>
      <c r="H46" s="118"/>
    </row>
    <row r="47" spans="6:8" x14ac:dyDescent="0.35">
      <c r="F47" s="118"/>
      <c r="G47" s="118"/>
      <c r="H47" s="118"/>
    </row>
    <row r="48" spans="6:8" x14ac:dyDescent="0.35">
      <c r="F48" s="118"/>
      <c r="G48" s="118"/>
      <c r="H48" s="118"/>
    </row>
    <row r="49" spans="6:8" x14ac:dyDescent="0.35">
      <c r="F49" s="118"/>
      <c r="G49" s="118"/>
      <c r="H49" s="118"/>
    </row>
    <row r="50" spans="6:8" x14ac:dyDescent="0.35">
      <c r="F50" s="118"/>
      <c r="G50" s="118"/>
      <c r="H50" s="118"/>
    </row>
    <row r="51" spans="6:8" x14ac:dyDescent="0.35">
      <c r="F51" s="118"/>
      <c r="G51" s="118"/>
      <c r="H51" s="118"/>
    </row>
    <row r="52" spans="6:8" x14ac:dyDescent="0.35">
      <c r="F52" s="118"/>
      <c r="G52" s="118"/>
      <c r="H52" s="118"/>
    </row>
    <row r="53" spans="6:8" x14ac:dyDescent="0.35">
      <c r="F53" s="118"/>
      <c r="G53" s="118"/>
      <c r="H53" s="118"/>
    </row>
    <row r="54" spans="6:8" x14ac:dyDescent="0.35">
      <c r="F54" s="118"/>
      <c r="G54" s="118"/>
      <c r="H54" s="118"/>
    </row>
    <row r="55" spans="6:8" x14ac:dyDescent="0.35">
      <c r="F55" s="118"/>
      <c r="G55" s="118"/>
      <c r="H55" s="118"/>
    </row>
    <row r="56" spans="6:8" x14ac:dyDescent="0.35">
      <c r="F56" s="118"/>
      <c r="G56" s="118"/>
      <c r="H56" s="118"/>
    </row>
  </sheetData>
  <mergeCells count="3">
    <mergeCell ref="I3:K3"/>
    <mergeCell ref="C18:K19"/>
    <mergeCell ref="C20:K21"/>
  </mergeCells>
  <conditionalFormatting sqref="I4:I16">
    <cfRule type="expression" dxfId="23" priority="1">
      <formula>H4=G4</formula>
    </cfRule>
    <cfRule type="expression" dxfId="22" priority="2">
      <formula>H4&lt;G4</formula>
    </cfRule>
    <cfRule type="expression" dxfId="21" priority="3">
      <formula>H4&gt;G4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42"/>
  <sheetViews>
    <sheetView showGridLines="0" zoomScaleNormal="100" workbookViewId="0">
      <pane xSplit="2" ySplit="3" topLeftCell="C7" activePane="bottomRight" state="frozen"/>
      <selection pane="topRight" activeCell="C1" sqref="C1"/>
      <selection pane="bottomLeft" activeCell="A5" sqref="A5"/>
      <selection pane="bottomRight" activeCell="N24" sqref="N24"/>
    </sheetView>
  </sheetViews>
  <sheetFormatPr defaultColWidth="9.08984375" defaultRowHeight="14" x14ac:dyDescent="0.35"/>
  <cols>
    <col min="1" max="1" width="2.54296875" style="82" customWidth="1"/>
    <col min="2" max="2" width="47" style="82" bestFit="1" customWidth="1"/>
    <col min="3" max="3" width="14.90625" style="82" customWidth="1"/>
    <col min="4" max="4" width="14" style="82" customWidth="1"/>
    <col min="5" max="6" width="11.54296875" style="82" bestFit="1" customWidth="1"/>
    <col min="7" max="7" width="11.81640625" style="82" bestFit="1" customWidth="1"/>
    <col min="8" max="8" width="7.6328125" style="82" bestFit="1" customWidth="1"/>
    <col min="9" max="9" width="10.6328125" style="82" bestFit="1" customWidth="1"/>
    <col min="10" max="10" width="3" style="82" bestFit="1" customWidth="1"/>
    <col min="11" max="11" width="8.6328125" style="82" bestFit="1" customWidth="1"/>
    <col min="12" max="12" width="9.08984375" style="82"/>
    <col min="13" max="13" width="13.6328125" style="82" bestFit="1" customWidth="1"/>
    <col min="14" max="14" width="31.36328125" style="82" customWidth="1"/>
    <col min="15" max="16384" width="9.08984375" style="82"/>
  </cols>
  <sheetData>
    <row r="2" spans="2:11" ht="15" thickBot="1" x14ac:dyDescent="0.4">
      <c r="I2" s="83" t="s">
        <v>160</v>
      </c>
      <c r="J2" s="84"/>
    </row>
    <row r="3" spans="2:11" ht="29.4" customHeight="1" thickBot="1" x14ac:dyDescent="0.4">
      <c r="B3" s="190" t="s">
        <v>0</v>
      </c>
      <c r="C3" s="191">
        <v>2019</v>
      </c>
      <c r="D3" s="191">
        <f>C3+1</f>
        <v>2020</v>
      </c>
      <c r="E3" s="191">
        <f t="shared" ref="E3:G3" si="0">D3+1</f>
        <v>2021</v>
      </c>
      <c r="F3" s="191">
        <f t="shared" si="0"/>
        <v>2022</v>
      </c>
      <c r="G3" s="191">
        <f t="shared" si="0"/>
        <v>2023</v>
      </c>
      <c r="H3" s="192" t="s">
        <v>177</v>
      </c>
      <c r="I3" s="226" t="str">
        <f>CONCATENATE(G3," vs. ",F3)</f>
        <v>2023 vs. 2022</v>
      </c>
      <c r="J3" s="226"/>
      <c r="K3" s="226"/>
    </row>
    <row r="4" spans="2:11" x14ac:dyDescent="0.35">
      <c r="B4" s="85" t="s">
        <v>1</v>
      </c>
      <c r="C4" s="86">
        <v>157093809.54692432</v>
      </c>
      <c r="D4" s="86">
        <v>144756737.42610183</v>
      </c>
      <c r="E4" s="86">
        <v>132497913.65999791</v>
      </c>
      <c r="F4" s="86">
        <v>123886765</v>
      </c>
      <c r="G4" s="193">
        <v>122672069</v>
      </c>
      <c r="H4" s="194">
        <f>G4/$G$19</f>
        <v>0.41929015186554841</v>
      </c>
      <c r="I4" s="131">
        <f>G4-F4</f>
        <v>-1214696</v>
      </c>
      <c r="J4" s="132" t="str">
        <f>IF(G4&gt;F4,"▲",IF(G4=F4,"▬","▼"))</f>
        <v>▼</v>
      </c>
      <c r="K4" s="132">
        <f>G4/F4-100%</f>
        <v>-9.8048891663286009E-3</v>
      </c>
    </row>
    <row r="5" spans="2:11" x14ac:dyDescent="0.35">
      <c r="B5" s="85" t="s">
        <v>2</v>
      </c>
      <c r="C5" s="86">
        <v>13432444</v>
      </c>
      <c r="D5" s="86">
        <v>11885345.9</v>
      </c>
      <c r="E5" s="86">
        <v>10894586</v>
      </c>
      <c r="F5" s="86">
        <v>9883738</v>
      </c>
      <c r="G5" s="193">
        <v>10857912</v>
      </c>
      <c r="H5" s="194">
        <f>G5/$G$19</f>
        <v>3.7112079453251581E-2</v>
      </c>
      <c r="I5" s="131">
        <f t="shared" ref="I5:I37" si="1">G5-F5</f>
        <v>974174</v>
      </c>
      <c r="J5" s="132" t="str">
        <f t="shared" ref="J5:J37" si="2">IF(G5&gt;F5,"▲",IF(G5=F5,"▬","▼"))</f>
        <v>▲</v>
      </c>
      <c r="K5" s="132">
        <f t="shared" ref="K5:K37" si="3">G5/F5-100%</f>
        <v>9.8563316834177517E-2</v>
      </c>
    </row>
    <row r="6" spans="2:11" x14ac:dyDescent="0.35">
      <c r="B6" s="85" t="s">
        <v>60</v>
      </c>
      <c r="C6" s="86">
        <v>143460.56021036324</v>
      </c>
      <c r="D6" s="86">
        <v>143460.56021036324</v>
      </c>
      <c r="E6" s="86">
        <v>143460.56021036324</v>
      </c>
      <c r="F6" s="86">
        <v>143461</v>
      </c>
      <c r="G6" s="193">
        <v>143461</v>
      </c>
      <c r="H6" s="194">
        <f>G6/$G$19</f>
        <v>4.9034621301433697E-4</v>
      </c>
      <c r="I6" s="131">
        <f t="shared" si="1"/>
        <v>0</v>
      </c>
      <c r="J6" s="132" t="str">
        <f t="shared" si="2"/>
        <v>▬</v>
      </c>
      <c r="K6" s="132">
        <f t="shared" si="3"/>
        <v>0</v>
      </c>
    </row>
    <row r="7" spans="2:11" x14ac:dyDescent="0.35">
      <c r="B7" s="85" t="s">
        <v>139</v>
      </c>
      <c r="C7" s="86">
        <v>307580.76636363612</v>
      </c>
      <c r="D7" s="86">
        <v>323175.72909090878</v>
      </c>
      <c r="E7" s="86">
        <v>298466.16272727284</v>
      </c>
      <c r="F7" s="86">
        <v>329100</v>
      </c>
      <c r="G7" s="193">
        <v>802899</v>
      </c>
      <c r="H7" s="194">
        <f>G7/$G$19</f>
        <v>2.7442892778037106E-3</v>
      </c>
      <c r="I7" s="131">
        <f t="shared" si="1"/>
        <v>473799</v>
      </c>
      <c r="J7" s="132" t="str">
        <f t="shared" si="2"/>
        <v>▲</v>
      </c>
      <c r="K7" s="132">
        <f t="shared" si="3"/>
        <v>1.4396809480401096</v>
      </c>
    </row>
    <row r="8" spans="2:11" x14ac:dyDescent="0.35">
      <c r="B8" s="85" t="s">
        <v>140</v>
      </c>
      <c r="C8" s="86">
        <v>27033841.327179756</v>
      </c>
      <c r="D8" s="86">
        <v>24469502.752227362</v>
      </c>
      <c r="E8" s="86">
        <v>23324616.914013024</v>
      </c>
      <c r="F8" s="86">
        <v>0</v>
      </c>
      <c r="G8" s="193">
        <v>0</v>
      </c>
      <c r="H8" s="194">
        <f>G8/$G$19</f>
        <v>0</v>
      </c>
      <c r="I8" s="131">
        <f t="shared" si="1"/>
        <v>0</v>
      </c>
      <c r="J8" s="132" t="str">
        <f t="shared" si="2"/>
        <v>▬</v>
      </c>
      <c r="K8" s="132" t="e">
        <f t="shared" si="3"/>
        <v>#DIV/0!</v>
      </c>
    </row>
    <row r="9" spans="2:11" x14ac:dyDescent="0.35">
      <c r="B9" s="85" t="s">
        <v>154</v>
      </c>
      <c r="C9" s="86">
        <v>197373.45</v>
      </c>
      <c r="D9" s="86">
        <v>196963.95</v>
      </c>
      <c r="E9" s="86">
        <v>196974.40000000037</v>
      </c>
      <c r="F9" s="86">
        <v>297974</v>
      </c>
      <c r="G9" s="193">
        <v>297974</v>
      </c>
      <c r="H9" s="194"/>
      <c r="I9" s="131"/>
      <c r="J9" s="132"/>
      <c r="K9" s="132"/>
    </row>
    <row r="10" spans="2:11" ht="14.5" thickBot="1" x14ac:dyDescent="0.4">
      <c r="B10" s="85" t="s">
        <v>141</v>
      </c>
      <c r="C10" s="86">
        <v>195396.25</v>
      </c>
      <c r="D10" s="86">
        <v>100000</v>
      </c>
      <c r="E10" s="86">
        <v>0</v>
      </c>
      <c r="F10" s="86">
        <v>1898</v>
      </c>
      <c r="G10" s="193">
        <v>0</v>
      </c>
      <c r="H10" s="194">
        <f t="shared" ref="H10:H37" si="4">G10/$G$19</f>
        <v>0</v>
      </c>
      <c r="I10" s="131">
        <f t="shared" si="1"/>
        <v>-1898</v>
      </c>
      <c r="J10" s="132" t="str">
        <f t="shared" si="2"/>
        <v>▼</v>
      </c>
      <c r="K10" s="132">
        <f t="shared" si="3"/>
        <v>-1</v>
      </c>
    </row>
    <row r="11" spans="2:11" ht="14.5" thickBot="1" x14ac:dyDescent="0.4">
      <c r="B11" s="87" t="s">
        <v>61</v>
      </c>
      <c r="C11" s="88">
        <f t="shared" ref="C11:G11" si="5">SUM(C4:C10)</f>
        <v>198403905.9006781</v>
      </c>
      <c r="D11" s="88">
        <f t="shared" si="5"/>
        <v>181875186.31763047</v>
      </c>
      <c r="E11" s="88">
        <f t="shared" si="5"/>
        <v>167356017.69694859</v>
      </c>
      <c r="F11" s="88">
        <f t="shared" si="5"/>
        <v>134542936</v>
      </c>
      <c r="G11" s="195">
        <f t="shared" si="5"/>
        <v>134774315</v>
      </c>
      <c r="H11" s="196">
        <f>G11/$G$19</f>
        <v>0.46065533470316911</v>
      </c>
      <c r="I11" s="133">
        <f t="shared" si="1"/>
        <v>231379</v>
      </c>
      <c r="J11" s="134" t="str">
        <f t="shared" si="2"/>
        <v>▲</v>
      </c>
      <c r="K11" s="134">
        <f t="shared" si="3"/>
        <v>1.7197409754756698E-3</v>
      </c>
    </row>
    <row r="12" spans="2:11" x14ac:dyDescent="0.35">
      <c r="B12" s="85" t="s">
        <v>142</v>
      </c>
      <c r="C12" s="86">
        <v>45992536.542492926</v>
      </c>
      <c r="D12" s="86">
        <v>39267786.496564828</v>
      </c>
      <c r="E12" s="86">
        <v>54803658.57558158</v>
      </c>
      <c r="F12" s="86">
        <v>65899751</v>
      </c>
      <c r="G12" s="193">
        <v>59716567</v>
      </c>
      <c r="H12" s="194">
        <f t="shared" si="4"/>
        <v>0.20410977535822925</v>
      </c>
      <c r="I12" s="131">
        <f t="shared" si="1"/>
        <v>-6183184</v>
      </c>
      <c r="J12" s="132" t="str">
        <f t="shared" si="2"/>
        <v>▼</v>
      </c>
      <c r="K12" s="132">
        <f t="shared" si="3"/>
        <v>-9.3827122351342385E-2</v>
      </c>
    </row>
    <row r="13" spans="2:11" x14ac:dyDescent="0.35">
      <c r="B13" s="85" t="s">
        <v>143</v>
      </c>
      <c r="C13" s="86">
        <v>34018157.702699974</v>
      </c>
      <c r="D13" s="86">
        <v>36180344.175505936</v>
      </c>
      <c r="E13" s="86">
        <v>53054233.585505947</v>
      </c>
      <c r="F13" s="86">
        <v>60979526</v>
      </c>
      <c r="G13" s="193">
        <v>60437183</v>
      </c>
      <c r="H13" s="194">
        <f t="shared" si="4"/>
        <v>0.20657282334086938</v>
      </c>
      <c r="I13" s="131">
        <f t="shared" si="1"/>
        <v>-542343</v>
      </c>
      <c r="J13" s="132" t="str">
        <f t="shared" si="2"/>
        <v>▼</v>
      </c>
      <c r="K13" s="132">
        <f t="shared" si="3"/>
        <v>-8.8938539797767113E-3</v>
      </c>
    </row>
    <row r="14" spans="2:11" x14ac:dyDescent="0.35">
      <c r="B14" s="85" t="s">
        <v>144</v>
      </c>
      <c r="C14" s="86">
        <v>2389649.9115479453</v>
      </c>
      <c r="D14" s="86">
        <v>181047.34791506856</v>
      </c>
      <c r="E14" s="86">
        <v>617901.78</v>
      </c>
      <c r="F14" s="86">
        <v>263414</v>
      </c>
      <c r="G14" s="193">
        <v>2833298</v>
      </c>
      <c r="H14" s="194">
        <f t="shared" si="4"/>
        <v>9.6841437369117375E-3</v>
      </c>
      <c r="I14" s="131">
        <f t="shared" si="1"/>
        <v>2569884</v>
      </c>
      <c r="J14" s="132" t="str">
        <f t="shared" si="2"/>
        <v>▲</v>
      </c>
      <c r="K14" s="132">
        <f t="shared" si="3"/>
        <v>9.7560645979332907</v>
      </c>
    </row>
    <row r="15" spans="2:11" x14ac:dyDescent="0.35">
      <c r="B15" s="85" t="s">
        <v>62</v>
      </c>
      <c r="C15" s="86">
        <v>1496725.5565500001</v>
      </c>
      <c r="D15" s="86">
        <v>1236390.7065499998</v>
      </c>
      <c r="E15" s="86">
        <v>4621551.3065499999</v>
      </c>
      <c r="F15" s="86">
        <v>4796687</v>
      </c>
      <c r="G15" s="193">
        <v>1093312</v>
      </c>
      <c r="H15" s="194">
        <f t="shared" si="4"/>
        <v>3.7369138570282566E-3</v>
      </c>
      <c r="I15" s="131">
        <f t="shared" si="1"/>
        <v>-3703375</v>
      </c>
      <c r="J15" s="132" t="str">
        <f t="shared" si="2"/>
        <v>▼</v>
      </c>
      <c r="K15" s="132"/>
    </row>
    <row r="16" spans="2:11" x14ac:dyDescent="0.35">
      <c r="B16" s="85" t="s">
        <v>145</v>
      </c>
      <c r="C16" s="86">
        <v>9849170.4968970008</v>
      </c>
      <c r="D16" s="86">
        <v>20704631.823772997</v>
      </c>
      <c r="E16" s="86">
        <v>17596892.999122001</v>
      </c>
      <c r="F16" s="86">
        <v>73869061</v>
      </c>
      <c r="G16" s="193">
        <v>33716158</v>
      </c>
      <c r="H16" s="194">
        <f t="shared" si="4"/>
        <v>0.11524100900379225</v>
      </c>
      <c r="I16" s="131">
        <f t="shared" si="1"/>
        <v>-40152903</v>
      </c>
      <c r="J16" s="132" t="str">
        <f t="shared" si="2"/>
        <v>▼</v>
      </c>
      <c r="K16" s="132">
        <f t="shared" si="3"/>
        <v>-0.54356861257516187</v>
      </c>
    </row>
    <row r="17" spans="2:11" ht="14.5" thickBot="1" x14ac:dyDescent="0.4">
      <c r="B17" s="85" t="s">
        <v>146</v>
      </c>
      <c r="C17" s="86">
        <v>6873002.5300000003</v>
      </c>
      <c r="D17" s="86">
        <v>70844.84</v>
      </c>
      <c r="E17" s="86">
        <v>3760155</v>
      </c>
      <c r="F17" s="86">
        <v>3760155</v>
      </c>
      <c r="G17" s="193">
        <v>0</v>
      </c>
      <c r="H17" s="194">
        <f t="shared" si="4"/>
        <v>0</v>
      </c>
      <c r="I17" s="131">
        <f t="shared" si="1"/>
        <v>-3760155</v>
      </c>
      <c r="J17" s="132" t="str">
        <f t="shared" si="2"/>
        <v>▼</v>
      </c>
      <c r="K17" s="132">
        <f t="shared" si="3"/>
        <v>-1</v>
      </c>
    </row>
    <row r="18" spans="2:11" ht="14.5" thickBot="1" x14ac:dyDescent="0.4">
      <c r="B18" s="87" t="s">
        <v>63</v>
      </c>
      <c r="C18" s="88">
        <f>SUM(C12:C17)</f>
        <v>100619242.74018784</v>
      </c>
      <c r="D18" s="88">
        <f t="shared" ref="D18:F18" si="6">SUM(D12:D17)</f>
        <v>97641045.390308842</v>
      </c>
      <c r="E18" s="88">
        <f t="shared" si="6"/>
        <v>134454393.24675953</v>
      </c>
      <c r="F18" s="88">
        <f t="shared" si="6"/>
        <v>209568594</v>
      </c>
      <c r="G18" s="195">
        <f t="shared" ref="G18" si="7">SUM(G12:G17)</f>
        <v>157796518</v>
      </c>
      <c r="H18" s="196">
        <f t="shared" si="4"/>
        <v>0.53934466529683089</v>
      </c>
      <c r="I18" s="133">
        <f t="shared" si="1"/>
        <v>-51772076</v>
      </c>
      <c r="J18" s="134" t="str">
        <f t="shared" si="2"/>
        <v>▼</v>
      </c>
      <c r="K18" s="134">
        <f t="shared" si="3"/>
        <v>-0.2470411954951609</v>
      </c>
    </row>
    <row r="19" spans="2:11" ht="14.5" thickBot="1" x14ac:dyDescent="0.4">
      <c r="B19" s="87" t="s">
        <v>117</v>
      </c>
      <c r="C19" s="88">
        <f t="shared" ref="C19:F19" si="8">C11+C18</f>
        <v>299023148.64086592</v>
      </c>
      <c r="D19" s="88">
        <f t="shared" si="8"/>
        <v>279516231.70793933</v>
      </c>
      <c r="E19" s="88">
        <f t="shared" si="8"/>
        <v>301810410.94370812</v>
      </c>
      <c r="F19" s="88">
        <f t="shared" si="8"/>
        <v>344111530</v>
      </c>
      <c r="G19" s="195">
        <f t="shared" ref="G19" si="9">G11+G18</f>
        <v>292570833</v>
      </c>
      <c r="H19" s="196">
        <f t="shared" si="4"/>
        <v>1</v>
      </c>
      <c r="I19" s="133">
        <f>G19-F19</f>
        <v>-51540697</v>
      </c>
      <c r="J19" s="134" t="str">
        <f t="shared" si="2"/>
        <v>▼</v>
      </c>
      <c r="K19" s="134">
        <f t="shared" si="3"/>
        <v>-0.14977904692702393</v>
      </c>
    </row>
    <row r="20" spans="2:11" x14ac:dyDescent="0.35">
      <c r="B20" s="85" t="s">
        <v>3</v>
      </c>
      <c r="C20" s="86">
        <v>26412209.943440005</v>
      </c>
      <c r="D20" s="86">
        <v>26412209.943440005</v>
      </c>
      <c r="E20" s="86">
        <v>26412210.343440004</v>
      </c>
      <c r="F20" s="86">
        <v>26412210</v>
      </c>
      <c r="G20" s="193">
        <v>52824419</v>
      </c>
      <c r="H20" s="194">
        <f t="shared" si="4"/>
        <v>0.18055258091978021</v>
      </c>
      <c r="I20" s="131">
        <f t="shared" si="1"/>
        <v>26412209</v>
      </c>
      <c r="J20" s="132" t="str">
        <f t="shared" si="2"/>
        <v>▲</v>
      </c>
      <c r="K20" s="132">
        <f t="shared" si="3"/>
        <v>0.999999962138723</v>
      </c>
    </row>
    <row r="21" spans="2:11" x14ac:dyDescent="0.35">
      <c r="B21" s="85" t="s">
        <v>64</v>
      </c>
      <c r="C21" s="86">
        <v>2182283.2899999991</v>
      </c>
      <c r="D21" s="86">
        <v>2182283.2899999991</v>
      </c>
      <c r="E21" s="86">
        <v>2182283</v>
      </c>
      <c r="F21" s="86">
        <v>2182283</v>
      </c>
      <c r="G21" s="193">
        <v>2182283</v>
      </c>
      <c r="H21" s="194">
        <f t="shared" si="4"/>
        <v>7.4589902815090248E-3</v>
      </c>
      <c r="I21" s="131">
        <f t="shared" si="1"/>
        <v>0</v>
      </c>
      <c r="J21" s="132" t="str">
        <f t="shared" si="2"/>
        <v>▬</v>
      </c>
      <c r="K21" s="132">
        <f t="shared" si="3"/>
        <v>0</v>
      </c>
    </row>
    <row r="22" spans="2:11" x14ac:dyDescent="0.35">
      <c r="B22" s="85" t="s">
        <v>4</v>
      </c>
      <c r="C22" s="86">
        <v>60489520.997961394</v>
      </c>
      <c r="D22" s="86">
        <v>60969177.209163398</v>
      </c>
      <c r="E22" s="86">
        <v>60227359.809163399</v>
      </c>
      <c r="F22" s="86">
        <v>62917677</v>
      </c>
      <c r="G22" s="193">
        <v>65302625</v>
      </c>
      <c r="H22" s="194">
        <f t="shared" si="4"/>
        <v>0.22320278590449924</v>
      </c>
      <c r="I22" s="131">
        <f t="shared" si="1"/>
        <v>2384948</v>
      </c>
      <c r="J22" s="132" t="str">
        <f t="shared" si="2"/>
        <v>▲</v>
      </c>
      <c r="K22" s="132">
        <f t="shared" si="3"/>
        <v>3.790584957546983E-2</v>
      </c>
    </row>
    <row r="23" spans="2:11" x14ac:dyDescent="0.35">
      <c r="B23" s="85" t="s">
        <v>5</v>
      </c>
      <c r="C23" s="86">
        <v>49570020.627917819</v>
      </c>
      <c r="D23" s="86">
        <v>49237998.287676029</v>
      </c>
      <c r="E23" s="86">
        <v>49182732.063599013</v>
      </c>
      <c r="F23" s="86">
        <v>77247165</v>
      </c>
      <c r="G23" s="193">
        <v>30821626</v>
      </c>
      <c r="H23" s="194">
        <f t="shared" si="4"/>
        <v>0.1053475689423901</v>
      </c>
      <c r="I23" s="131">
        <f t="shared" si="1"/>
        <v>-46425539</v>
      </c>
      <c r="J23" s="132" t="str">
        <f t="shared" si="2"/>
        <v>▼</v>
      </c>
      <c r="K23" s="132">
        <f t="shared" si="3"/>
        <v>-0.600999907245787</v>
      </c>
    </row>
    <row r="24" spans="2:11" ht="28" x14ac:dyDescent="0.35">
      <c r="B24" s="90" t="s">
        <v>65</v>
      </c>
      <c r="C24" s="94">
        <f t="shared" ref="C24:D24" si="10">SUM(C20:C23)</f>
        <v>138654034.85931921</v>
      </c>
      <c r="D24" s="94">
        <f t="shared" si="10"/>
        <v>138801668.73027945</v>
      </c>
      <c r="E24" s="94">
        <v>138004585.21620241</v>
      </c>
      <c r="F24" s="94">
        <v>168759335</v>
      </c>
      <c r="G24" s="197">
        <v>151130953</v>
      </c>
      <c r="H24" s="194">
        <f t="shared" si="4"/>
        <v>0.51656192604817852</v>
      </c>
      <c r="I24" s="131">
        <f t="shared" si="1"/>
        <v>-17628382</v>
      </c>
      <c r="J24" s="132" t="str">
        <f t="shared" si="2"/>
        <v>▼</v>
      </c>
      <c r="K24" s="132">
        <f t="shared" si="3"/>
        <v>-0.10445870742498486</v>
      </c>
    </row>
    <row r="25" spans="2:11" ht="14.5" thickBot="1" x14ac:dyDescent="0.4">
      <c r="B25" s="85" t="s">
        <v>66</v>
      </c>
      <c r="C25" s="86">
        <v>907104.5727180551</v>
      </c>
      <c r="D25" s="86">
        <v>909941.30470211047</v>
      </c>
      <c r="E25" s="86">
        <v>915580.80087402463</v>
      </c>
      <c r="F25" s="86">
        <v>920916</v>
      </c>
      <c r="G25" s="193">
        <v>913851</v>
      </c>
      <c r="H25" s="194">
        <f t="shared" si="4"/>
        <v>3.1235205185337119E-3</v>
      </c>
      <c r="I25" s="131">
        <f t="shared" si="1"/>
        <v>-7065</v>
      </c>
      <c r="J25" s="132" t="str">
        <f t="shared" si="2"/>
        <v>▼</v>
      </c>
      <c r="K25" s="132">
        <f t="shared" si="3"/>
        <v>-7.6717094718736778E-3</v>
      </c>
    </row>
    <row r="26" spans="2:11" ht="14.5" thickBot="1" x14ac:dyDescent="0.4">
      <c r="B26" s="87" t="s">
        <v>67</v>
      </c>
      <c r="C26" s="88">
        <f t="shared" ref="C26:F26" si="11">C24+C25</f>
        <v>139561139.43203726</v>
      </c>
      <c r="D26" s="88">
        <f t="shared" si="11"/>
        <v>139711610.03498155</v>
      </c>
      <c r="E26" s="88">
        <f t="shared" si="11"/>
        <v>138920166.01707643</v>
      </c>
      <c r="F26" s="88">
        <f t="shared" si="11"/>
        <v>169680251</v>
      </c>
      <c r="G26" s="195">
        <f>G24+G25</f>
        <v>152044804</v>
      </c>
      <c r="H26" s="196">
        <f t="shared" si="4"/>
        <v>0.51968544656671223</v>
      </c>
      <c r="I26" s="133">
        <f t="shared" si="1"/>
        <v>-17635447</v>
      </c>
      <c r="J26" s="134" t="str">
        <f t="shared" si="2"/>
        <v>▼</v>
      </c>
      <c r="K26" s="134">
        <f t="shared" si="3"/>
        <v>-0.10393340943372364</v>
      </c>
    </row>
    <row r="27" spans="2:11" x14ac:dyDescent="0.35">
      <c r="B27" s="85" t="s">
        <v>68</v>
      </c>
      <c r="C27" s="86">
        <v>248808.238247</v>
      </c>
      <c r="D27" s="86">
        <v>446038</v>
      </c>
      <c r="E27" s="86">
        <v>659623</v>
      </c>
      <c r="F27" s="86">
        <v>1429017</v>
      </c>
      <c r="G27" s="193">
        <v>1803188</v>
      </c>
      <c r="H27" s="194">
        <f t="shared" si="4"/>
        <v>6.1632527805668171E-3</v>
      </c>
      <c r="I27" s="131">
        <f t="shared" si="1"/>
        <v>374171</v>
      </c>
      <c r="J27" s="132" t="str">
        <f t="shared" si="2"/>
        <v>▲</v>
      </c>
      <c r="K27" s="132">
        <f t="shared" si="3"/>
        <v>0.26183803271759531</v>
      </c>
    </row>
    <row r="28" spans="2:11" x14ac:dyDescent="0.35">
      <c r="B28" s="90" t="s">
        <v>147</v>
      </c>
      <c r="C28" s="86">
        <v>8364029</v>
      </c>
      <c r="D28" s="86">
        <v>7852871</v>
      </c>
      <c r="E28" s="86">
        <v>8012574</v>
      </c>
      <c r="F28" s="86">
        <v>7780659</v>
      </c>
      <c r="G28" s="193">
        <v>7477700</v>
      </c>
      <c r="H28" s="194">
        <f t="shared" si="4"/>
        <v>2.5558596950093108E-2</v>
      </c>
      <c r="I28" s="131">
        <f t="shared" si="1"/>
        <v>-302959</v>
      </c>
      <c r="J28" s="132" t="str">
        <f t="shared" si="2"/>
        <v>▼</v>
      </c>
      <c r="K28" s="132">
        <f t="shared" si="3"/>
        <v>-3.8937447329332908E-2</v>
      </c>
    </row>
    <row r="29" spans="2:11" x14ac:dyDescent="0.35">
      <c r="B29" s="85" t="s">
        <v>148</v>
      </c>
      <c r="C29" s="86">
        <v>23513246.189999998</v>
      </c>
      <c r="D29" s="86">
        <v>17856699.280000001</v>
      </c>
      <c r="E29" s="86">
        <v>7623546.7200000007</v>
      </c>
      <c r="F29" s="86">
        <v>4044764</v>
      </c>
      <c r="G29" s="193">
        <v>7409934</v>
      </c>
      <c r="H29" s="194">
        <f t="shared" si="4"/>
        <v>2.5326974408279447E-2</v>
      </c>
      <c r="I29" s="131">
        <f t="shared" si="1"/>
        <v>3365170</v>
      </c>
      <c r="J29" s="132" t="str">
        <f t="shared" si="2"/>
        <v>▲</v>
      </c>
      <c r="K29" s="132">
        <f t="shared" si="3"/>
        <v>0.83198179176832077</v>
      </c>
    </row>
    <row r="30" spans="2:11" ht="14.5" thickBot="1" x14ac:dyDescent="0.4">
      <c r="B30" s="85" t="s">
        <v>149</v>
      </c>
      <c r="C30" s="86">
        <v>23506687.48</v>
      </c>
      <c r="D30" s="86">
        <v>19761266.899999999</v>
      </c>
      <c r="E30" s="86">
        <v>16015574.9</v>
      </c>
      <c r="F30" s="86">
        <v>13384594</v>
      </c>
      <c r="G30" s="193">
        <v>9784375</v>
      </c>
      <c r="H30" s="194">
        <f t="shared" si="4"/>
        <v>3.3442756065844743E-2</v>
      </c>
      <c r="I30" s="131">
        <f t="shared" si="1"/>
        <v>-3600219</v>
      </c>
      <c r="J30" s="132" t="str">
        <f t="shared" si="2"/>
        <v>▼</v>
      </c>
      <c r="K30" s="132">
        <f t="shared" si="3"/>
        <v>-0.26898230906368914</v>
      </c>
    </row>
    <row r="31" spans="2:11" ht="14.5" thickBot="1" x14ac:dyDescent="0.4">
      <c r="B31" s="87" t="s">
        <v>69</v>
      </c>
      <c r="C31" s="88">
        <f>SUM(C27:C30)</f>
        <v>55632770.908246994</v>
      </c>
      <c r="D31" s="88">
        <f>SUM(D27:D30)</f>
        <v>45916875.18</v>
      </c>
      <c r="E31" s="88">
        <f t="shared" ref="E31:G31" si="12">SUM(E27:E30)</f>
        <v>32311318.620000001</v>
      </c>
      <c r="F31" s="88">
        <f t="shared" si="12"/>
        <v>26639034</v>
      </c>
      <c r="G31" s="195">
        <f t="shared" si="12"/>
        <v>26475197</v>
      </c>
      <c r="H31" s="196">
        <f t="shared" si="4"/>
        <v>9.0491580204784122E-2</v>
      </c>
      <c r="I31" s="133">
        <f t="shared" si="1"/>
        <v>-163837</v>
      </c>
      <c r="J31" s="134" t="str">
        <f t="shared" si="2"/>
        <v>▼</v>
      </c>
      <c r="K31" s="134">
        <f t="shared" si="3"/>
        <v>-6.1502605537423483E-3</v>
      </c>
    </row>
    <row r="32" spans="2:11" x14ac:dyDescent="0.35">
      <c r="B32" s="85" t="s">
        <v>150</v>
      </c>
      <c r="C32" s="86">
        <v>35232436.053994887</v>
      </c>
      <c r="D32" s="86">
        <v>33374993.925974838</v>
      </c>
      <c r="E32" s="86">
        <v>55224664.185974844</v>
      </c>
      <c r="F32" s="86">
        <v>63161506</v>
      </c>
      <c r="G32" s="193">
        <v>39045876</v>
      </c>
      <c r="H32" s="194">
        <f t="shared" si="4"/>
        <v>0.13345785565712903</v>
      </c>
      <c r="I32" s="131">
        <f t="shared" si="1"/>
        <v>-24115630</v>
      </c>
      <c r="J32" s="132" t="str">
        <f t="shared" si="2"/>
        <v>▼</v>
      </c>
      <c r="K32" s="132">
        <f t="shared" si="3"/>
        <v>-0.38180897713236917</v>
      </c>
    </row>
    <row r="33" spans="2:11" x14ac:dyDescent="0.35">
      <c r="B33" s="85" t="s">
        <v>151</v>
      </c>
      <c r="C33" s="86">
        <v>60426062.469999999</v>
      </c>
      <c r="D33" s="86">
        <v>52867564.909999996</v>
      </c>
      <c r="E33" s="86">
        <v>67635179.310000002</v>
      </c>
      <c r="F33" s="86">
        <v>74737029</v>
      </c>
      <c r="G33" s="193">
        <v>65128044</v>
      </c>
      <c r="H33" s="194">
        <f t="shared" si="4"/>
        <v>0.22260607228745868</v>
      </c>
      <c r="I33" s="131">
        <f t="shared" si="1"/>
        <v>-9608985</v>
      </c>
      <c r="J33" s="132" t="str">
        <f t="shared" si="2"/>
        <v>▼</v>
      </c>
      <c r="K33" s="132">
        <f t="shared" si="3"/>
        <v>-0.12857060453928404</v>
      </c>
    </row>
    <row r="34" spans="2:11" ht="14.5" thickBot="1" x14ac:dyDescent="0.4">
      <c r="B34" s="89" t="s">
        <v>152</v>
      </c>
      <c r="C34" s="86">
        <v>8170739.7774229459</v>
      </c>
      <c r="D34" s="86">
        <v>7645188.0058750007</v>
      </c>
      <c r="E34" s="86">
        <v>7719083.2158749998</v>
      </c>
      <c r="F34" s="86">
        <v>9893710</v>
      </c>
      <c r="G34" s="193">
        <v>9876912</v>
      </c>
      <c r="H34" s="194">
        <f t="shared" si="4"/>
        <v>3.3759045283915913E-2</v>
      </c>
      <c r="I34" s="131">
        <f t="shared" si="1"/>
        <v>-16798</v>
      </c>
      <c r="J34" s="132" t="str">
        <f t="shared" si="2"/>
        <v>▼</v>
      </c>
      <c r="K34" s="132">
        <f t="shared" si="3"/>
        <v>-1.6978464094864476E-3</v>
      </c>
    </row>
    <row r="35" spans="2:11" ht="14.5" thickBot="1" x14ac:dyDescent="0.4">
      <c r="B35" s="87" t="s">
        <v>70</v>
      </c>
      <c r="C35" s="88">
        <f>SUM(C32:C34)</f>
        <v>103829238.30141784</v>
      </c>
      <c r="D35" s="88">
        <f>SUM(D32:D34)</f>
        <v>93887746.841849849</v>
      </c>
      <c r="E35" s="88">
        <f t="shared" ref="E35:F35" si="13">SUM(E32:E34)</f>
        <v>130578926.71184984</v>
      </c>
      <c r="F35" s="88">
        <f t="shared" si="13"/>
        <v>147792245</v>
      </c>
      <c r="G35" s="195">
        <f t="shared" ref="G35" si="14">SUM(G32:G34)</f>
        <v>114050832</v>
      </c>
      <c r="H35" s="196">
        <f t="shared" si="4"/>
        <v>0.38982297322850362</v>
      </c>
      <c r="I35" s="133">
        <f t="shared" si="1"/>
        <v>-33741413</v>
      </c>
      <c r="J35" s="134" t="str">
        <f t="shared" si="2"/>
        <v>▼</v>
      </c>
      <c r="K35" s="134">
        <f t="shared" si="3"/>
        <v>-0.22830300060737285</v>
      </c>
    </row>
    <row r="36" spans="2:11" ht="14.5" thickBot="1" x14ac:dyDescent="0.4">
      <c r="B36" s="87" t="s">
        <v>112</v>
      </c>
      <c r="C36" s="88">
        <f>C35+C31</f>
        <v>159462009.20966482</v>
      </c>
      <c r="D36" s="88">
        <f>D35+D31</f>
        <v>139804622.02184984</v>
      </c>
      <c r="E36" s="88">
        <f t="shared" ref="E36:F36" si="15">E35+E31</f>
        <v>162890245.33184984</v>
      </c>
      <c r="F36" s="88">
        <f t="shared" si="15"/>
        <v>174431279</v>
      </c>
      <c r="G36" s="195">
        <f t="shared" ref="G36" si="16">G35+G31</f>
        <v>140526029</v>
      </c>
      <c r="H36" s="196">
        <f t="shared" si="4"/>
        <v>0.48031455343328772</v>
      </c>
      <c r="I36" s="133">
        <f t="shared" si="1"/>
        <v>-33905250</v>
      </c>
      <c r="J36" s="134" t="str">
        <f t="shared" si="2"/>
        <v>▼</v>
      </c>
      <c r="K36" s="134">
        <f t="shared" si="3"/>
        <v>-0.19437597542353624</v>
      </c>
    </row>
    <row r="37" spans="2:11" ht="14.5" thickBot="1" x14ac:dyDescent="0.4">
      <c r="B37" s="87" t="s">
        <v>72</v>
      </c>
      <c r="C37" s="88">
        <f>C36+C26</f>
        <v>299023148.64170206</v>
      </c>
      <c r="D37" s="88">
        <f>D36+D26</f>
        <v>279516232.05683136</v>
      </c>
      <c r="E37" s="88">
        <f t="shared" ref="E37:F37" si="17">E36+E26</f>
        <v>301810411.34892631</v>
      </c>
      <c r="F37" s="88">
        <f t="shared" si="17"/>
        <v>344111530</v>
      </c>
      <c r="G37" s="195">
        <f t="shared" ref="G37" si="18">G36+G26</f>
        <v>292570833</v>
      </c>
      <c r="H37" s="196">
        <f t="shared" si="4"/>
        <v>1</v>
      </c>
      <c r="I37" s="133">
        <f t="shared" si="1"/>
        <v>-51540697</v>
      </c>
      <c r="J37" s="134" t="str">
        <f t="shared" si="2"/>
        <v>▼</v>
      </c>
      <c r="K37" s="134">
        <f t="shared" si="3"/>
        <v>-0.14977904692702393</v>
      </c>
    </row>
    <row r="38" spans="2:11" x14ac:dyDescent="0.35">
      <c r="B38" s="91" t="s">
        <v>10</v>
      </c>
      <c r="C38" s="92">
        <f>C37-C19</f>
        <v>8.3613395690917969E-4</v>
      </c>
      <c r="D38" s="92">
        <f>D37-D19</f>
        <v>0.34889203310012817</v>
      </c>
      <c r="E38" s="92">
        <f>E37-E19</f>
        <v>0.40521818399429321</v>
      </c>
      <c r="F38" s="92">
        <f>F37-F19</f>
        <v>0</v>
      </c>
      <c r="G38" s="92">
        <f>G37-G19</f>
        <v>0</v>
      </c>
    </row>
    <row r="42" spans="2:11" x14ac:dyDescent="0.35">
      <c r="C42" s="93"/>
      <c r="D42" s="93"/>
      <c r="E42" s="93"/>
      <c r="F42" s="93"/>
      <c r="G42" s="93"/>
    </row>
  </sheetData>
  <mergeCells count="1">
    <mergeCell ref="I3:K3"/>
  </mergeCells>
  <conditionalFormatting sqref="J4:J19">
    <cfRule type="expression" dxfId="20" priority="1">
      <formula>G4=F4</formula>
    </cfRule>
    <cfRule type="expression" dxfId="19" priority="2">
      <formula>G4&lt;F4</formula>
    </cfRule>
    <cfRule type="expression" dxfId="18" priority="3">
      <formula>G4&gt;F4</formula>
    </cfRule>
  </conditionalFormatting>
  <conditionalFormatting sqref="J20:J25">
    <cfRule type="expression" dxfId="17" priority="22">
      <formula>G20=F20</formula>
    </cfRule>
    <cfRule type="expression" dxfId="16" priority="23">
      <formula>G20&lt;F20</formula>
    </cfRule>
    <cfRule type="expression" dxfId="15" priority="24">
      <formula>G20&gt;F20</formula>
    </cfRule>
  </conditionalFormatting>
  <conditionalFormatting sqref="J24">
    <cfRule type="expression" dxfId="14" priority="19">
      <formula>G24=F24</formula>
    </cfRule>
    <cfRule type="expression" dxfId="13" priority="20">
      <formula>G24&lt;F24</formula>
    </cfRule>
    <cfRule type="expression" dxfId="12" priority="21">
      <formula>G24&gt;F24</formula>
    </cfRule>
  </conditionalFormatting>
  <conditionalFormatting sqref="J26:J30">
    <cfRule type="expression" dxfId="11" priority="10">
      <formula>G26=F26</formula>
    </cfRule>
    <cfRule type="expression" dxfId="10" priority="11">
      <formula>G26&lt;F26</formula>
    </cfRule>
    <cfRule type="expression" dxfId="9" priority="12">
      <formula>G26&gt;F26</formula>
    </cfRule>
  </conditionalFormatting>
  <conditionalFormatting sqref="J30:J37">
    <cfRule type="expression" dxfId="8" priority="4">
      <formula>G30=F30</formula>
    </cfRule>
    <cfRule type="expression" dxfId="7" priority="5">
      <formula>G30&lt;F30</formula>
    </cfRule>
    <cfRule type="expression" dxfId="6" priority="6">
      <formula>G30&gt;F30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Y68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12" sqref="N12"/>
    </sheetView>
  </sheetViews>
  <sheetFormatPr defaultColWidth="9.08984375" defaultRowHeight="14.5" x14ac:dyDescent="0.35"/>
  <cols>
    <col min="1" max="1" width="3.6328125" style="30" customWidth="1"/>
    <col min="2" max="2" width="59" style="30" bestFit="1" customWidth="1"/>
    <col min="3" max="3" width="15.08984375" style="30" bestFit="1" customWidth="1"/>
    <col min="4" max="4" width="17.453125" style="30" customWidth="1"/>
    <col min="5" max="6" width="14.1796875" style="30" bestFit="1" customWidth="1"/>
    <col min="7" max="7" width="16.1796875" style="30" customWidth="1"/>
    <col min="8" max="8" width="2.90625" style="30" customWidth="1"/>
    <col min="9" max="9" width="14.54296875" style="30" bestFit="1" customWidth="1"/>
    <col min="10" max="10" width="8" style="30" bestFit="1" customWidth="1"/>
    <col min="11" max="11" width="1.54296875" style="30" customWidth="1"/>
    <col min="12" max="12" width="8.08984375" style="30" customWidth="1"/>
    <col min="13" max="13" width="7.6328125" style="30" bestFit="1" customWidth="1"/>
    <col min="14" max="14" width="7.36328125" style="30" customWidth="1"/>
    <col min="15" max="16" width="7.90625" style="30" customWidth="1"/>
    <col min="17" max="17" width="4.36328125" style="30" customWidth="1"/>
    <col min="18" max="18" width="9.08984375" style="30"/>
    <col min="19" max="19" width="11.08984375" style="30" customWidth="1"/>
    <col min="20" max="16384" width="9.08984375" style="30"/>
  </cols>
  <sheetData>
    <row r="1" spans="2:23" x14ac:dyDescent="0.35">
      <c r="D1" s="165"/>
    </row>
    <row r="2" spans="2:23" ht="15" thickBot="1" x14ac:dyDescent="0.4">
      <c r="B2" s="2"/>
      <c r="C2" s="2"/>
      <c r="D2" s="2"/>
      <c r="E2" s="2"/>
      <c r="F2" s="2"/>
      <c r="G2" s="2"/>
      <c r="H2" s="3"/>
      <c r="I2" s="51" t="s">
        <v>160</v>
      </c>
      <c r="J2" s="52"/>
    </row>
    <row r="3" spans="2:23" s="44" customFormat="1" ht="25.5" customHeight="1" thickBot="1" x14ac:dyDescent="0.4">
      <c r="B3" s="198" t="s">
        <v>40</v>
      </c>
      <c r="C3" s="199">
        <v>2019</v>
      </c>
      <c r="D3" s="199">
        <f>C3+1</f>
        <v>2020</v>
      </c>
      <c r="E3" s="199">
        <f t="shared" ref="E3:G3" si="0">D3+1</f>
        <v>2021</v>
      </c>
      <c r="F3" s="199">
        <f t="shared" si="0"/>
        <v>2022</v>
      </c>
      <c r="G3" s="199">
        <f t="shared" si="0"/>
        <v>2023</v>
      </c>
      <c r="H3" s="227" t="str">
        <f>CONCATENATE(G3," vs. ",F3)</f>
        <v>2023 vs. 2022</v>
      </c>
      <c r="I3" s="227"/>
      <c r="J3" s="227"/>
    </row>
    <row r="4" spans="2:23" x14ac:dyDescent="0.35">
      <c r="B4" s="5" t="s">
        <v>74</v>
      </c>
      <c r="C4" s="5">
        <f>245771899.214134+2117151.36</f>
        <v>247889050.57413402</v>
      </c>
      <c r="D4" s="5">
        <v>256828357.77874568</v>
      </c>
      <c r="E4" s="5">
        <v>341319436</v>
      </c>
      <c r="F4" s="5">
        <v>381985677</v>
      </c>
      <c r="G4" s="200">
        <v>304683985</v>
      </c>
      <c r="H4" s="139" t="str">
        <f>IF(G4+F4&gt;0,IF(G4&gt;F4,"▲",IF(G4=F4,"▬","▼")),IF(G4&gt;F4,"▼",IF(G4=F4,"▬","▲")))</f>
        <v>▼</v>
      </c>
      <c r="I4" s="5">
        <f>G4-F4</f>
        <v>-77301692</v>
      </c>
      <c r="J4" s="140">
        <f>G4/F4-1</f>
        <v>-0.20236803800368675</v>
      </c>
      <c r="O4" s="5"/>
      <c r="S4" s="60"/>
      <c r="T4" s="60"/>
      <c r="U4" s="60"/>
      <c r="V4" s="60"/>
      <c r="W4" s="60"/>
    </row>
    <row r="5" spans="2:23" x14ac:dyDescent="0.35">
      <c r="B5" s="5" t="s">
        <v>9</v>
      </c>
      <c r="C5" s="6">
        <f>6896656.61-2117151.36</f>
        <v>4779505.25</v>
      </c>
      <c r="D5" s="6">
        <v>4418916.3899999997</v>
      </c>
      <c r="E5" s="6">
        <v>4291042</v>
      </c>
      <c r="F5" s="6">
        <v>4287141</v>
      </c>
      <c r="G5" s="186">
        <v>4103607</v>
      </c>
      <c r="H5" s="139" t="str">
        <f t="shared" ref="H5:H28" si="1">IF(G5+F5&gt;0,IF(G5&gt;F5,"▲",IF(G5=F5,"▬","▼")),IF(G5&gt;F5,"▼",IF(G5=F5,"▬","▲")))</f>
        <v>▼</v>
      </c>
      <c r="I5" s="6">
        <f t="shared" ref="I5:I28" si="2">G5-F5</f>
        <v>-183534</v>
      </c>
      <c r="J5" s="140">
        <f t="shared" ref="J5:J27" si="3">G5/F5-1</f>
        <v>-4.2810348435005974E-2</v>
      </c>
      <c r="O5" s="5"/>
      <c r="S5" s="60"/>
      <c r="T5" s="60"/>
      <c r="U5" s="60"/>
      <c r="V5" s="60"/>
      <c r="W5" s="60"/>
    </row>
    <row r="6" spans="2:23" x14ac:dyDescent="0.35">
      <c r="B6" s="6" t="s">
        <v>130</v>
      </c>
      <c r="C6" s="6">
        <v>6250935.6900000004</v>
      </c>
      <c r="D6" s="6">
        <v>-1549134.9800000195</v>
      </c>
      <c r="E6" s="6">
        <v>4710208.870000002</v>
      </c>
      <c r="F6" s="6">
        <v>11496807</v>
      </c>
      <c r="G6" s="186">
        <v>2516172</v>
      </c>
      <c r="H6" s="139" t="str">
        <f t="shared" si="1"/>
        <v>▼</v>
      </c>
      <c r="I6" s="6">
        <f t="shared" si="2"/>
        <v>-8980635</v>
      </c>
      <c r="J6" s="140">
        <f t="shared" si="3"/>
        <v>-0.78114166829103071</v>
      </c>
      <c r="O6" s="6"/>
      <c r="S6" s="60"/>
      <c r="T6" s="60"/>
      <c r="U6" s="60"/>
      <c r="V6" s="60"/>
      <c r="W6" s="60"/>
    </row>
    <row r="7" spans="2:23" x14ac:dyDescent="0.35">
      <c r="B7" s="6" t="s">
        <v>131</v>
      </c>
      <c r="C7" s="6">
        <v>-155174116.50988752</v>
      </c>
      <c r="D7" s="6">
        <v>-150122594.10027614</v>
      </c>
      <c r="E7" s="6">
        <v>-235396370.33861625</v>
      </c>
      <c r="F7" s="6">
        <v>-263732961</v>
      </c>
      <c r="G7" s="186">
        <v>-191297563</v>
      </c>
      <c r="H7" s="139" t="str">
        <f t="shared" si="1"/>
        <v>▼</v>
      </c>
      <c r="I7" s="6">
        <f t="shared" si="2"/>
        <v>72435398</v>
      </c>
      <c r="J7" s="140">
        <f t="shared" si="3"/>
        <v>-0.27465432354509534</v>
      </c>
      <c r="O7" s="6"/>
      <c r="S7" s="60"/>
      <c r="T7" s="60"/>
      <c r="U7" s="60"/>
      <c r="V7" s="60"/>
      <c r="W7" s="60"/>
    </row>
    <row r="8" spans="2:23" x14ac:dyDescent="0.35">
      <c r="B8" s="6" t="s">
        <v>132</v>
      </c>
      <c r="C8" s="6">
        <v>-67408982.629999995</v>
      </c>
      <c r="D8" s="6">
        <v>-70282432.939999998</v>
      </c>
      <c r="E8" s="6">
        <v>-73746328.079999998</v>
      </c>
      <c r="F8" s="6">
        <v>-78261063</v>
      </c>
      <c r="G8" s="186">
        <v>-84574383</v>
      </c>
      <c r="H8" s="139" t="str">
        <f t="shared" si="1"/>
        <v>▲</v>
      </c>
      <c r="I8" s="6">
        <f t="shared" si="2"/>
        <v>-6313320</v>
      </c>
      <c r="J8" s="140">
        <f t="shared" si="3"/>
        <v>8.067000061064844E-2</v>
      </c>
      <c r="O8" s="6"/>
      <c r="S8" s="60"/>
      <c r="T8" s="60"/>
      <c r="U8" s="60"/>
      <c r="V8" s="60"/>
      <c r="W8" s="60"/>
    </row>
    <row r="9" spans="2:23" x14ac:dyDescent="0.35">
      <c r="B9" s="45" t="s">
        <v>133</v>
      </c>
      <c r="C9" s="6">
        <v>-16301394.01</v>
      </c>
      <c r="D9" s="6">
        <v>-15272030.719999999</v>
      </c>
      <c r="E9" s="6">
        <v>-14897798.990000002</v>
      </c>
      <c r="F9" s="6">
        <v>-14538409</v>
      </c>
      <c r="G9" s="186">
        <v>-14320887</v>
      </c>
      <c r="H9" s="139" t="str">
        <f t="shared" si="1"/>
        <v>▼</v>
      </c>
      <c r="I9" s="6">
        <f t="shared" si="2"/>
        <v>217522</v>
      </c>
      <c r="J9" s="140">
        <f t="shared" si="3"/>
        <v>-1.4961884756440669E-2</v>
      </c>
      <c r="O9" s="6"/>
      <c r="S9" s="60"/>
      <c r="T9" s="60"/>
      <c r="U9" s="60"/>
      <c r="V9" s="60"/>
      <c r="W9" s="60"/>
    </row>
    <row r="10" spans="2:23" x14ac:dyDescent="0.35">
      <c r="B10" s="6" t="s">
        <v>164</v>
      </c>
      <c r="C10" s="6">
        <v>-19730987.665034357</v>
      </c>
      <c r="D10" s="6">
        <v>-18739100.469999995</v>
      </c>
      <c r="E10" s="6">
        <v>-21382632.819999997</v>
      </c>
      <c r="F10" s="6">
        <v>-30646145</v>
      </c>
      <c r="G10" s="186">
        <v>-27713730</v>
      </c>
      <c r="H10" s="139" t="str">
        <f t="shared" si="1"/>
        <v>▼</v>
      </c>
      <c r="I10" s="6">
        <f t="shared" si="2"/>
        <v>2932415</v>
      </c>
      <c r="J10" s="140">
        <f t="shared" si="3"/>
        <v>-9.5686260049999805E-2</v>
      </c>
      <c r="O10" s="6"/>
      <c r="S10" s="60"/>
      <c r="T10" s="60"/>
      <c r="U10" s="60"/>
      <c r="V10" s="60"/>
      <c r="W10" s="60"/>
    </row>
    <row r="11" spans="2:23" ht="15" thickBot="1" x14ac:dyDescent="0.4">
      <c r="B11" s="6" t="s">
        <v>165</v>
      </c>
      <c r="C11" s="6">
        <v>1899442.2500000014</v>
      </c>
      <c r="D11" s="6">
        <v>802760.03999999852</v>
      </c>
      <c r="E11" s="6">
        <v>1936380.37</v>
      </c>
      <c r="F11" s="6">
        <v>2276748</v>
      </c>
      <c r="G11" s="186">
        <v>5068419</v>
      </c>
      <c r="H11" s="139" t="str">
        <f t="shared" si="1"/>
        <v>▲</v>
      </c>
      <c r="I11" s="6">
        <f t="shared" si="2"/>
        <v>2791671</v>
      </c>
      <c r="J11" s="140">
        <f t="shared" si="3"/>
        <v>1.2261660051968861</v>
      </c>
      <c r="O11" s="6"/>
      <c r="S11" s="60"/>
      <c r="T11" s="60"/>
      <c r="U11" s="60"/>
      <c r="V11" s="60"/>
      <c r="W11" s="60"/>
    </row>
    <row r="12" spans="2:23" ht="15" thickBot="1" x14ac:dyDescent="0.4">
      <c r="B12" s="4" t="s">
        <v>134</v>
      </c>
      <c r="C12" s="4">
        <f t="shared" ref="C12:E12" si="4">SUM(C4:C11)</f>
        <v>2203452.9492121539</v>
      </c>
      <c r="D12" s="4">
        <f t="shared" si="4"/>
        <v>6084740.998469512</v>
      </c>
      <c r="E12" s="4">
        <f t="shared" si="4"/>
        <v>6833937.0113837561</v>
      </c>
      <c r="F12" s="4">
        <f t="shared" ref="F12:G12" si="5">SUM(F4:F11)</f>
        <v>12867795</v>
      </c>
      <c r="G12" s="198">
        <f t="shared" si="5"/>
        <v>-1534380</v>
      </c>
      <c r="H12" s="141" t="str">
        <f t="shared" si="1"/>
        <v>▼</v>
      </c>
      <c r="I12" s="4">
        <f t="shared" si="2"/>
        <v>-14402175</v>
      </c>
      <c r="J12" s="142">
        <f t="shared" si="3"/>
        <v>-1.119241874773417</v>
      </c>
      <c r="O12" s="6"/>
      <c r="S12" s="60"/>
      <c r="T12" s="60"/>
      <c r="U12" s="60"/>
      <c r="V12" s="60"/>
      <c r="W12" s="60"/>
    </row>
    <row r="13" spans="2:23" x14ac:dyDescent="0.35">
      <c r="B13" s="6" t="s">
        <v>135</v>
      </c>
      <c r="C13" s="6">
        <v>6312.4361232877009</v>
      </c>
      <c r="D13" s="6">
        <v>89607.860000000015</v>
      </c>
      <c r="E13" s="6">
        <v>85169.579999999987</v>
      </c>
      <c r="F13" s="6">
        <v>290047.3000000001</v>
      </c>
      <c r="G13" s="186">
        <v>944878</v>
      </c>
      <c r="H13" s="139" t="str">
        <f t="shared" si="1"/>
        <v>▲</v>
      </c>
      <c r="I13" s="6">
        <f t="shared" si="2"/>
        <v>654830.69999999995</v>
      </c>
      <c r="J13" s="140">
        <f t="shared" si="3"/>
        <v>2.2576686630077218</v>
      </c>
      <c r="O13" s="6"/>
      <c r="S13" s="60"/>
      <c r="T13" s="60"/>
      <c r="U13" s="60"/>
      <c r="V13" s="60"/>
      <c r="W13" s="60"/>
    </row>
    <row r="14" spans="2:23" x14ac:dyDescent="0.35">
      <c r="B14" s="6" t="s">
        <v>175</v>
      </c>
      <c r="C14" s="6">
        <v>0</v>
      </c>
      <c r="D14" s="6">
        <v>0</v>
      </c>
      <c r="E14" s="6">
        <v>0</v>
      </c>
      <c r="F14" s="6">
        <v>44525894.818782099</v>
      </c>
      <c r="G14" s="186">
        <v>0</v>
      </c>
      <c r="H14" s="139" t="str">
        <f t="shared" ref="H14" si="6">IF(G14+F14&gt;0,IF(G14&gt;F14,"▲",IF(G14=F14,"▬","▼")),IF(G14&gt;F14,"▼",IF(G14=F14,"▬","▲")))</f>
        <v>▼</v>
      </c>
      <c r="I14" s="6">
        <f t="shared" ref="I14" si="7">G14-F14</f>
        <v>-44525894.818782099</v>
      </c>
      <c r="J14" s="140"/>
      <c r="O14" s="6"/>
      <c r="S14" s="60"/>
      <c r="T14" s="60"/>
      <c r="U14" s="60"/>
      <c r="V14" s="60"/>
      <c r="W14" s="60"/>
    </row>
    <row r="15" spans="2:23" x14ac:dyDescent="0.35">
      <c r="B15" s="6" t="s">
        <v>136</v>
      </c>
      <c r="C15" s="6">
        <v>-4484519.6293946244</v>
      </c>
      <c r="D15" s="6">
        <v>-3426115.9181956183</v>
      </c>
      <c r="E15" s="6">
        <v>-3054857.0913820472</v>
      </c>
      <c r="F15" s="6">
        <v>-2894705.4863043702</v>
      </c>
      <c r="G15" s="186">
        <v>-4303354</v>
      </c>
      <c r="H15" s="139" t="str">
        <f t="shared" si="1"/>
        <v>▲</v>
      </c>
      <c r="I15" s="6">
        <f t="shared" si="2"/>
        <v>-1408648.5136956298</v>
      </c>
      <c r="J15" s="140">
        <f t="shared" si="3"/>
        <v>0.48662930317447639</v>
      </c>
      <c r="O15" s="6"/>
      <c r="S15" s="60"/>
      <c r="T15" s="60"/>
      <c r="U15" s="60"/>
      <c r="V15" s="60"/>
      <c r="W15" s="60"/>
    </row>
    <row r="16" spans="2:23" ht="15" thickBot="1" x14ac:dyDescent="0.4">
      <c r="B16" s="6" t="s">
        <v>166</v>
      </c>
      <c r="C16" s="6">
        <v>-68054.144101487836</v>
      </c>
      <c r="D16" s="6">
        <v>-2564548.57495239</v>
      </c>
      <c r="E16" s="6">
        <v>-1144984.9882143368</v>
      </c>
      <c r="F16" s="6">
        <v>2402565.1812179028</v>
      </c>
      <c r="G16" s="186">
        <v>0</v>
      </c>
      <c r="H16" s="139" t="str">
        <f t="shared" si="1"/>
        <v>▼</v>
      </c>
      <c r="I16" s="6">
        <f t="shared" si="2"/>
        <v>-2402565.1812179028</v>
      </c>
      <c r="J16" s="140">
        <f t="shared" si="3"/>
        <v>-1</v>
      </c>
      <c r="O16" s="6"/>
      <c r="S16" s="60"/>
      <c r="T16" s="60"/>
      <c r="U16" s="60"/>
      <c r="V16" s="60"/>
      <c r="W16" s="60"/>
    </row>
    <row r="17" spans="2:25" s="135" customFormat="1" ht="15" thickBot="1" x14ac:dyDescent="0.4">
      <c r="B17" s="4" t="s">
        <v>6</v>
      </c>
      <c r="C17" s="4">
        <f>SUM(C12:C16)</f>
        <v>-2342808.3881606706</v>
      </c>
      <c r="D17" s="4">
        <f t="shared" ref="D17:E17" si="8">SUM(D12:D16)</f>
        <v>183684.36532150395</v>
      </c>
      <c r="E17" s="4">
        <f t="shared" si="8"/>
        <v>2719264.5117873722</v>
      </c>
      <c r="F17" s="4">
        <f>SUM(F12:F16)</f>
        <v>57191596.813695632</v>
      </c>
      <c r="G17" s="198">
        <f>SUM(G12:G16)</f>
        <v>-4892856</v>
      </c>
      <c r="H17" s="141" t="str">
        <f t="shared" si="1"/>
        <v>▼</v>
      </c>
      <c r="I17" s="4">
        <f t="shared" si="2"/>
        <v>-62084452.813695632</v>
      </c>
      <c r="J17" s="142">
        <f t="shared" si="3"/>
        <v>-1.0855520089068105</v>
      </c>
      <c r="O17" s="143"/>
      <c r="S17" s="136"/>
      <c r="T17" s="136"/>
      <c r="U17" s="136"/>
      <c r="V17" s="136"/>
      <c r="W17" s="136"/>
    </row>
    <row r="18" spans="2:25" ht="15" thickBot="1" x14ac:dyDescent="0.4">
      <c r="B18" s="6" t="s">
        <v>7</v>
      </c>
      <c r="C18" s="6">
        <v>-274293</v>
      </c>
      <c r="D18" s="6">
        <v>-267650</v>
      </c>
      <c r="E18" s="6">
        <v>-928652.4</v>
      </c>
      <c r="F18" s="6">
        <v>-1066842</v>
      </c>
      <c r="G18" s="186">
        <v>-242991</v>
      </c>
      <c r="H18" s="139" t="str">
        <f t="shared" si="1"/>
        <v>▼</v>
      </c>
      <c r="I18" s="6">
        <f t="shared" si="2"/>
        <v>823851</v>
      </c>
      <c r="J18" s="140">
        <f t="shared" si="3"/>
        <v>-0.77223337663871505</v>
      </c>
      <c r="O18" s="6"/>
    </row>
    <row r="19" spans="2:25" s="135" customFormat="1" ht="15" thickBot="1" x14ac:dyDescent="0.4">
      <c r="B19" s="4" t="s">
        <v>75</v>
      </c>
      <c r="C19" s="4">
        <f>C17+C18</f>
        <v>-2617101.3881606706</v>
      </c>
      <c r="D19" s="4">
        <f t="shared" ref="D19" si="9">D17+D18</f>
        <v>-83965.634678496048</v>
      </c>
      <c r="E19" s="4">
        <f>E17+E18</f>
        <v>1790612.1117873723</v>
      </c>
      <c r="F19" s="4">
        <f>F17+F18</f>
        <v>56124754.813695632</v>
      </c>
      <c r="G19" s="198">
        <f>G17+G18</f>
        <v>-5135847</v>
      </c>
      <c r="H19" s="141" t="str">
        <f t="shared" si="1"/>
        <v>▼</v>
      </c>
      <c r="I19" s="4">
        <f t="shared" si="2"/>
        <v>-61260601.813695632</v>
      </c>
      <c r="J19" s="142" t="s">
        <v>73</v>
      </c>
      <c r="O19" s="143"/>
    </row>
    <row r="20" spans="2:25" x14ac:dyDescent="0.35">
      <c r="B20" s="6" t="s">
        <v>76</v>
      </c>
      <c r="C20" s="144">
        <f>C19-C21</f>
        <v>-2585653.4424058492</v>
      </c>
      <c r="D20" s="144">
        <f t="shared" ref="D20" si="10">D19-D21</f>
        <v>-86817.745267980063</v>
      </c>
      <c r="E20" s="144">
        <v>1793729.1004036162</v>
      </c>
      <c r="F20" s="144">
        <v>56119418.813695632</v>
      </c>
      <c r="G20" s="201">
        <v>-5128782</v>
      </c>
      <c r="H20" s="139" t="str">
        <f t="shared" si="1"/>
        <v>▼</v>
      </c>
      <c r="I20" s="6">
        <f t="shared" si="2"/>
        <v>-61248200.813695632</v>
      </c>
      <c r="J20" s="140">
        <f t="shared" si="3"/>
        <v>-1.0913905045422236</v>
      </c>
      <c r="O20" s="6"/>
    </row>
    <row r="21" spans="2:25" ht="15" thickBot="1" x14ac:dyDescent="0.4">
      <c r="B21" s="6" t="s">
        <v>77</v>
      </c>
      <c r="C21" s="144">
        <v>-31447.945754821641</v>
      </c>
      <c r="D21" s="144">
        <v>2852.1105894840098</v>
      </c>
      <c r="E21" s="144">
        <v>-3118</v>
      </c>
      <c r="F21" s="144">
        <v>5336</v>
      </c>
      <c r="G21" s="201">
        <v>-7065</v>
      </c>
      <c r="H21" s="139" t="str">
        <f t="shared" si="1"/>
        <v>▲</v>
      </c>
      <c r="I21" s="6">
        <f t="shared" si="2"/>
        <v>-12401</v>
      </c>
      <c r="J21" s="140" t="s">
        <v>73</v>
      </c>
      <c r="O21" s="6"/>
    </row>
    <row r="22" spans="2:25" s="135" customFormat="1" ht="15" thickBot="1" x14ac:dyDescent="0.4">
      <c r="B22" s="4" t="s">
        <v>78</v>
      </c>
      <c r="C22" s="4">
        <f>C20+C21</f>
        <v>-2617101.3881606706</v>
      </c>
      <c r="D22" s="4">
        <f t="shared" ref="D22:F22" si="11">D20+D21</f>
        <v>-83965.634678496048</v>
      </c>
      <c r="E22" s="4">
        <f t="shared" si="11"/>
        <v>1790611.1004036162</v>
      </c>
      <c r="F22" s="4">
        <f t="shared" si="11"/>
        <v>56124754.813695632</v>
      </c>
      <c r="G22" s="198">
        <f t="shared" ref="G22" si="12">G20+G21</f>
        <v>-5135847</v>
      </c>
      <c r="H22" s="141" t="str">
        <f t="shared" si="1"/>
        <v>▼</v>
      </c>
      <c r="I22" s="4">
        <f t="shared" si="2"/>
        <v>-61260601.813695632</v>
      </c>
      <c r="J22" s="142" t="s">
        <v>73</v>
      </c>
      <c r="O22" s="143"/>
    </row>
    <row r="23" spans="2:25" x14ac:dyDescent="0.35">
      <c r="B23" s="6" t="s">
        <v>79</v>
      </c>
      <c r="C23" s="6">
        <v>987</v>
      </c>
      <c r="D23" s="6">
        <v>12170</v>
      </c>
      <c r="E23" s="6">
        <v>115</v>
      </c>
      <c r="F23" s="6">
        <v>0</v>
      </c>
      <c r="G23" s="186">
        <v>64719</v>
      </c>
      <c r="H23" s="139" t="str">
        <f t="shared" si="1"/>
        <v>▲</v>
      </c>
      <c r="I23" s="6">
        <f t="shared" si="2"/>
        <v>64719</v>
      </c>
      <c r="J23" s="140" t="e">
        <f t="shared" si="3"/>
        <v>#DIV/0!</v>
      </c>
      <c r="O23" s="6"/>
    </row>
    <row r="24" spans="2:25" x14ac:dyDescent="0.35">
      <c r="B24" s="6" t="s">
        <v>161</v>
      </c>
      <c r="C24" s="6">
        <v>760000</v>
      </c>
      <c r="D24" s="6">
        <v>0</v>
      </c>
      <c r="E24" s="6">
        <v>0</v>
      </c>
      <c r="F24" s="6">
        <v>745264</v>
      </c>
      <c r="G24" s="186"/>
      <c r="H24" s="139" t="str">
        <f t="shared" si="1"/>
        <v>▼</v>
      </c>
      <c r="I24" s="6">
        <f t="shared" si="2"/>
        <v>-745264</v>
      </c>
      <c r="J24" s="140" t="s">
        <v>73</v>
      </c>
      <c r="O24" s="6"/>
    </row>
    <row r="25" spans="2:25" ht="15" thickBot="1" x14ac:dyDescent="0.4">
      <c r="B25" s="6" t="s">
        <v>80</v>
      </c>
      <c r="C25" s="6">
        <v>74009</v>
      </c>
      <c r="D25" s="6">
        <v>289185.79999999702</v>
      </c>
      <c r="E25" s="6">
        <v>21017</v>
      </c>
      <c r="F25" s="6">
        <v>273332</v>
      </c>
      <c r="G25" s="186">
        <v>485482</v>
      </c>
      <c r="H25" s="139" t="str">
        <f t="shared" si="1"/>
        <v>▲</v>
      </c>
      <c r="I25" s="6">
        <f t="shared" si="2"/>
        <v>212150</v>
      </c>
      <c r="J25" s="140" t="s">
        <v>73</v>
      </c>
      <c r="O25" s="6"/>
    </row>
    <row r="26" spans="2:25" s="135" customFormat="1" ht="15" thickBot="1" x14ac:dyDescent="0.4">
      <c r="B26" s="4" t="s">
        <v>81</v>
      </c>
      <c r="C26" s="4">
        <f>C22+C23+C24+C25</f>
        <v>-1782105.3881606706</v>
      </c>
      <c r="D26" s="4">
        <f>D22+D23+D24+D25</f>
        <v>217390.16532150097</v>
      </c>
      <c r="E26" s="4">
        <f>E22+E23+E24+E25</f>
        <v>1811743.1004036162</v>
      </c>
      <c r="F26" s="4">
        <f>F22+F23+F24+F25</f>
        <v>57143350.813695632</v>
      </c>
      <c r="G26" s="198">
        <f>G22+G23+G24+G25</f>
        <v>-4585646</v>
      </c>
      <c r="H26" s="141" t="str">
        <f t="shared" si="1"/>
        <v>▼</v>
      </c>
      <c r="I26" s="4">
        <f t="shared" si="2"/>
        <v>-61728996.813695632</v>
      </c>
      <c r="J26" s="142">
        <f t="shared" si="3"/>
        <v>-1.0802481117173295</v>
      </c>
      <c r="O26" s="143"/>
    </row>
    <row r="27" spans="2:25" x14ac:dyDescent="0.35">
      <c r="B27" s="6" t="s">
        <v>76</v>
      </c>
      <c r="C27" s="6">
        <v>-1750657.442406147</v>
      </c>
      <c r="D27" s="6">
        <v>214538.05473201696</v>
      </c>
      <c r="E27" s="6">
        <v>1814861.1004036162</v>
      </c>
      <c r="F27" s="6">
        <v>57138014.813695632</v>
      </c>
      <c r="G27" s="186">
        <v>-4578581</v>
      </c>
      <c r="H27" s="139" t="str">
        <f t="shared" si="1"/>
        <v>▼</v>
      </c>
      <c r="I27" s="6">
        <f t="shared" si="2"/>
        <v>-61716595.813695632</v>
      </c>
      <c r="J27" s="140">
        <f t="shared" si="3"/>
        <v>-1.0801319579430426</v>
      </c>
      <c r="O27" s="6"/>
    </row>
    <row r="28" spans="2:25" x14ac:dyDescent="0.35">
      <c r="B28" s="6" t="s">
        <v>77</v>
      </c>
      <c r="C28" s="6">
        <v>-31447.945754821641</v>
      </c>
      <c r="D28" s="6">
        <v>2852.1105894840098</v>
      </c>
      <c r="E28" s="6">
        <v>-3118</v>
      </c>
      <c r="F28" s="6">
        <v>5336</v>
      </c>
      <c r="G28" s="186">
        <v>-7065</v>
      </c>
      <c r="H28" s="139" t="str">
        <f t="shared" si="1"/>
        <v>▲</v>
      </c>
      <c r="I28" s="6">
        <f t="shared" si="2"/>
        <v>-12401</v>
      </c>
      <c r="J28" s="140" t="s">
        <v>73</v>
      </c>
      <c r="O28" s="6"/>
    </row>
    <row r="29" spans="2:25" x14ac:dyDescent="0.35">
      <c r="B29" s="6"/>
      <c r="C29" s="145">
        <f>C22-C19</f>
        <v>0</v>
      </c>
      <c r="D29" s="145">
        <f t="shared" ref="D29:F29" si="13">D22-D19</f>
        <v>0</v>
      </c>
      <c r="E29" s="145">
        <f t="shared" si="13"/>
        <v>-1.0113837560638785</v>
      </c>
      <c r="F29" s="145">
        <f t="shared" si="13"/>
        <v>0</v>
      </c>
      <c r="G29" s="145">
        <f>G22-G19</f>
        <v>0</v>
      </c>
    </row>
    <row r="30" spans="2:25" ht="15.75" customHeight="1" x14ac:dyDescent="0.35">
      <c r="B30" s="202" t="s">
        <v>99</v>
      </c>
      <c r="L30" s="202" t="s">
        <v>114</v>
      </c>
      <c r="M30" s="202"/>
      <c r="N30" s="202"/>
      <c r="R30" s="202" t="s">
        <v>138</v>
      </c>
      <c r="S30" s="202"/>
      <c r="T30" s="95">
        <v>2023</v>
      </c>
    </row>
    <row r="31" spans="2:25" ht="15" thickBot="1" x14ac:dyDescent="0.4">
      <c r="Y31" s="54"/>
    </row>
    <row r="32" spans="2:25" s="44" customFormat="1" ht="18.75" customHeight="1" thickBot="1" x14ac:dyDescent="0.4">
      <c r="B32" s="137" t="s">
        <v>115</v>
      </c>
      <c r="C32" s="138">
        <f>C3</f>
        <v>2019</v>
      </c>
      <c r="D32" s="138">
        <f t="shared" ref="D32:G32" si="14">D3</f>
        <v>2020</v>
      </c>
      <c r="E32" s="138">
        <f t="shared" si="14"/>
        <v>2021</v>
      </c>
      <c r="F32" s="138">
        <f t="shared" si="14"/>
        <v>2022</v>
      </c>
      <c r="G32" s="138">
        <f t="shared" si="14"/>
        <v>2023</v>
      </c>
      <c r="H32" s="228" t="str">
        <f>CONCATENATE(G32," vs. ",F32)</f>
        <v>2023 vs. 2022</v>
      </c>
      <c r="I32" s="228"/>
      <c r="J32" s="228"/>
      <c r="L32" s="138">
        <f>C32</f>
        <v>2019</v>
      </c>
      <c r="M32" s="138">
        <f t="shared" ref="M32:P32" si="15">D32</f>
        <v>2020</v>
      </c>
      <c r="N32" s="138">
        <f t="shared" si="15"/>
        <v>2021</v>
      </c>
      <c r="O32" s="138">
        <f t="shared" si="15"/>
        <v>2022</v>
      </c>
      <c r="P32" s="138">
        <f t="shared" si="15"/>
        <v>2023</v>
      </c>
    </row>
    <row r="33" spans="2:16" s="10" customFormat="1" x14ac:dyDescent="0.35">
      <c r="B33" s="10" t="s">
        <v>82</v>
      </c>
      <c r="C33" s="7">
        <v>183857279.63</v>
      </c>
      <c r="D33" s="7">
        <v>181146471.98999998</v>
      </c>
      <c r="E33" s="7">
        <v>264737647</v>
      </c>
      <c r="F33" s="7">
        <v>262801054</v>
      </c>
      <c r="G33" s="7">
        <v>214230854</v>
      </c>
      <c r="H33" s="139" t="str">
        <f t="shared" ref="H33:H42" si="16">IF(G33+F33&gt;0,IF(G33&gt;F33,"▲",IF(G33=F33,"▬","▼")),IF(G33&gt;F33,"▼",IF(G33=F33,"▬","▲")))</f>
        <v>▼</v>
      </c>
      <c r="I33" s="5">
        <f t="shared" ref="I33:I42" si="17">G33-F33</f>
        <v>-48570200</v>
      </c>
      <c r="J33" s="146">
        <f t="shared" ref="J33:J42" si="18">G33/F33-1</f>
        <v>-0.18481737139456067</v>
      </c>
      <c r="L33" s="47">
        <f t="shared" ref="L33:L42" si="19">C33/C$40</f>
        <v>0.64564299211230469</v>
      </c>
      <c r="M33" s="47">
        <f t="shared" ref="M33:M42" si="20">D33/D$40</f>
        <v>0.60302551519671432</v>
      </c>
      <c r="N33" s="47">
        <f t="shared" ref="N33:N42" si="21">E33/E$40</f>
        <v>0.64423143399706639</v>
      </c>
      <c r="O33" s="47">
        <f t="shared" ref="O33:O42" si="22">F33/F$40</f>
        <v>0.5905707130670923</v>
      </c>
      <c r="P33" s="147">
        <f t="shared" ref="P33:P42" si="23">G33/G$40</f>
        <v>0.60836556950281251</v>
      </c>
    </row>
    <row r="34" spans="2:16" s="10" customFormat="1" x14ac:dyDescent="0.35">
      <c r="B34" s="10" t="s">
        <v>83</v>
      </c>
      <c r="C34" s="7">
        <v>90780619.179999992</v>
      </c>
      <c r="D34" s="7">
        <v>110666944.82000001</v>
      </c>
      <c r="E34" s="7">
        <v>133415290.42000002</v>
      </c>
      <c r="F34" s="7">
        <v>164064764.47999999</v>
      </c>
      <c r="G34" s="7">
        <v>115487833.52</v>
      </c>
      <c r="H34" s="139" t="str">
        <f t="shared" si="16"/>
        <v>▼</v>
      </c>
      <c r="I34" s="5">
        <f t="shared" si="17"/>
        <v>-48576930.959999993</v>
      </c>
      <c r="J34" s="146">
        <f t="shared" si="18"/>
        <v>-0.29608387342622655</v>
      </c>
      <c r="L34" s="47">
        <f t="shared" si="19"/>
        <v>0.31879004579603915</v>
      </c>
      <c r="M34" s="47">
        <f t="shared" si="20"/>
        <v>0.36840348410986945</v>
      </c>
      <c r="N34" s="47">
        <f t="shared" si="21"/>
        <v>0.32466226408823406</v>
      </c>
      <c r="O34" s="47">
        <f t="shared" si="22"/>
        <v>0.36868895110343869</v>
      </c>
      <c r="P34" s="147">
        <f t="shared" si="23"/>
        <v>0.32795846302344855</v>
      </c>
    </row>
    <row r="35" spans="2:16" s="10" customFormat="1" x14ac:dyDescent="0.35">
      <c r="B35" s="10" t="s">
        <v>84</v>
      </c>
      <c r="C35" s="7">
        <f>7034188.46+2117151.36</f>
        <v>9151339.8200000003</v>
      </c>
      <c r="D35" s="7">
        <v>7646081.7999999998</v>
      </c>
      <c r="E35" s="7">
        <v>11711050.470000001</v>
      </c>
      <c r="F35" s="7">
        <v>17005204.48</v>
      </c>
      <c r="G35" s="7">
        <v>20393925.700000003</v>
      </c>
      <c r="H35" s="139" t="str">
        <f t="shared" si="16"/>
        <v>▲</v>
      </c>
      <c r="I35" s="5">
        <f t="shared" si="17"/>
        <v>3388721.2200000025</v>
      </c>
      <c r="J35" s="146">
        <f t="shared" si="18"/>
        <v>0.19927553496845696</v>
      </c>
      <c r="L35" s="47">
        <f t="shared" si="19"/>
        <v>3.213633115377168E-2</v>
      </c>
      <c r="M35" s="47">
        <f t="shared" si="20"/>
        <v>2.5453338207634291E-2</v>
      </c>
      <c r="N35" s="47">
        <f t="shared" si="21"/>
        <v>2.8498503795722406E-2</v>
      </c>
      <c r="O35" s="47">
        <f t="shared" si="22"/>
        <v>3.8214366277257446E-2</v>
      </c>
      <c r="P35" s="147">
        <f t="shared" si="23"/>
        <v>5.7913983869375539E-2</v>
      </c>
    </row>
    <row r="36" spans="2:16" s="10" customFormat="1" x14ac:dyDescent="0.35">
      <c r="B36" s="10" t="s">
        <v>85</v>
      </c>
      <c r="C36" s="7">
        <v>0</v>
      </c>
      <c r="D36" s="7">
        <v>0</v>
      </c>
      <c r="E36" s="7"/>
      <c r="F36" s="7">
        <v>0</v>
      </c>
      <c r="G36" s="7">
        <v>0</v>
      </c>
      <c r="H36" s="139" t="str">
        <f t="shared" si="16"/>
        <v>▬</v>
      </c>
      <c r="I36" s="5">
        <f t="shared" si="17"/>
        <v>0</v>
      </c>
      <c r="J36" s="146"/>
      <c r="L36" s="47">
        <f t="shared" si="19"/>
        <v>0</v>
      </c>
      <c r="M36" s="47">
        <f t="shared" si="20"/>
        <v>0</v>
      </c>
      <c r="N36" s="47">
        <f t="shared" si="21"/>
        <v>0</v>
      </c>
      <c r="O36" s="47">
        <f t="shared" si="22"/>
        <v>0</v>
      </c>
      <c r="P36" s="147">
        <f t="shared" si="23"/>
        <v>0</v>
      </c>
    </row>
    <row r="37" spans="2:16" s="10" customFormat="1" x14ac:dyDescent="0.35">
      <c r="B37" s="10" t="s">
        <v>86</v>
      </c>
      <c r="C37" s="7">
        <v>976927.61999999988</v>
      </c>
      <c r="D37" s="7">
        <v>936533.44</v>
      </c>
      <c r="E37" s="7">
        <v>1071637.1499999999</v>
      </c>
      <c r="F37" s="7">
        <v>1124043.99</v>
      </c>
      <c r="G37" s="7">
        <v>2029034.4</v>
      </c>
      <c r="H37" s="139" t="str">
        <f t="shared" si="16"/>
        <v>▲</v>
      </c>
      <c r="I37" s="5">
        <f t="shared" si="17"/>
        <v>904990.40999999992</v>
      </c>
      <c r="J37" s="146">
        <f t="shared" si="18"/>
        <v>0.80512010032632264</v>
      </c>
      <c r="L37" s="47">
        <f t="shared" si="19"/>
        <v>3.4306309378844611E-3</v>
      </c>
      <c r="M37" s="47">
        <f t="shared" si="20"/>
        <v>3.1176624857818256E-3</v>
      </c>
      <c r="N37" s="47">
        <f t="shared" si="21"/>
        <v>2.6077981189771217E-3</v>
      </c>
      <c r="O37" s="47">
        <f t="shared" si="22"/>
        <v>2.5259695522114592E-3</v>
      </c>
      <c r="P37" s="147">
        <f t="shared" si="23"/>
        <v>5.7619836043635315E-3</v>
      </c>
    </row>
    <row r="38" spans="2:16" s="10" customFormat="1" x14ac:dyDescent="0.35">
      <c r="B38" s="10" t="s">
        <v>87</v>
      </c>
      <c r="C38" s="7">
        <v>0</v>
      </c>
      <c r="D38" s="7">
        <v>0</v>
      </c>
      <c r="E38" s="7"/>
      <c r="F38" s="7"/>
      <c r="G38" s="7"/>
      <c r="H38" s="139" t="str">
        <f t="shared" si="16"/>
        <v>▬</v>
      </c>
      <c r="I38" s="5">
        <f t="shared" si="17"/>
        <v>0</v>
      </c>
      <c r="J38" s="146"/>
      <c r="L38" s="47">
        <f t="shared" si="19"/>
        <v>0</v>
      </c>
      <c r="M38" s="47">
        <f t="shared" si="20"/>
        <v>0</v>
      </c>
      <c r="N38" s="47">
        <f t="shared" si="21"/>
        <v>0</v>
      </c>
      <c r="O38" s="47">
        <f t="shared" si="22"/>
        <v>0</v>
      </c>
      <c r="P38" s="147">
        <f t="shared" si="23"/>
        <v>0</v>
      </c>
    </row>
    <row r="39" spans="2:16" s="10" customFormat="1" ht="15" thickBot="1" x14ac:dyDescent="0.4">
      <c r="B39" s="10" t="s">
        <v>88</v>
      </c>
      <c r="C39" s="7">
        <v>0</v>
      </c>
      <c r="D39" s="7">
        <v>0</v>
      </c>
      <c r="E39" s="7"/>
      <c r="F39" s="7"/>
      <c r="G39" s="7"/>
      <c r="H39" s="139" t="str">
        <f t="shared" si="16"/>
        <v>▬</v>
      </c>
      <c r="I39" s="5">
        <f t="shared" si="17"/>
        <v>0</v>
      </c>
      <c r="J39" s="146"/>
      <c r="L39" s="47">
        <f t="shared" si="19"/>
        <v>0</v>
      </c>
      <c r="M39" s="47">
        <f t="shared" si="20"/>
        <v>0</v>
      </c>
      <c r="N39" s="47">
        <f t="shared" si="21"/>
        <v>0</v>
      </c>
      <c r="O39" s="47">
        <f t="shared" si="22"/>
        <v>0</v>
      </c>
      <c r="P39" s="147">
        <f t="shared" si="23"/>
        <v>0</v>
      </c>
    </row>
    <row r="40" spans="2:16" s="8" customFormat="1" ht="15" thickBot="1" x14ac:dyDescent="0.4">
      <c r="B40" s="9" t="s">
        <v>96</v>
      </c>
      <c r="C40" s="148">
        <f>SUM(C33:C39)</f>
        <v>284766166.25</v>
      </c>
      <c r="D40" s="148">
        <f>SUM(D33:D39)</f>
        <v>300396032.05000001</v>
      </c>
      <c r="E40" s="148">
        <f>SUM(E33:E39)</f>
        <v>410935625.04000002</v>
      </c>
      <c r="F40" s="148">
        <f>SUM(F33:F39)</f>
        <v>444995066.95000005</v>
      </c>
      <c r="G40" s="148">
        <f>SUM(G33:G39)</f>
        <v>352141647.61999995</v>
      </c>
      <c r="H40" s="149" t="str">
        <f t="shared" si="16"/>
        <v>▼</v>
      </c>
      <c r="I40" s="150">
        <f t="shared" si="17"/>
        <v>-92853419.330000103</v>
      </c>
      <c r="J40" s="151">
        <f t="shared" si="18"/>
        <v>-0.20866168240115157</v>
      </c>
      <c r="K40" s="50"/>
      <c r="L40" s="48">
        <f t="shared" si="19"/>
        <v>1</v>
      </c>
      <c r="M40" s="48">
        <f t="shared" si="20"/>
        <v>1</v>
      </c>
      <c r="N40" s="48">
        <f t="shared" si="21"/>
        <v>1</v>
      </c>
      <c r="O40" s="48">
        <f t="shared" si="22"/>
        <v>1</v>
      </c>
      <c r="P40" s="152">
        <f t="shared" si="23"/>
        <v>1</v>
      </c>
    </row>
    <row r="41" spans="2:16" s="8" customFormat="1" x14ac:dyDescent="0.35">
      <c r="B41" s="8" t="s">
        <v>97</v>
      </c>
      <c r="C41" s="46">
        <v>36877115.675866298</v>
      </c>
      <c r="D41" s="46">
        <v>43567674.271254301</v>
      </c>
      <c r="E41" s="46">
        <v>69616188.668269694</v>
      </c>
      <c r="F41" s="46">
        <v>63009389.459300004</v>
      </c>
      <c r="G41" s="46">
        <v>47457662.822409704</v>
      </c>
      <c r="H41" s="139" t="str">
        <f t="shared" si="16"/>
        <v>▼</v>
      </c>
      <c r="I41" s="5">
        <f t="shared" si="17"/>
        <v>-15551726.6368903</v>
      </c>
      <c r="J41" s="146">
        <f t="shared" si="18"/>
        <v>-0.24681601853856572</v>
      </c>
      <c r="L41" s="49">
        <f t="shared" si="19"/>
        <v>0.12949963881415388</v>
      </c>
      <c r="M41" s="49">
        <f t="shared" si="20"/>
        <v>0.14503412037081301</v>
      </c>
      <c r="N41" s="49">
        <f t="shared" si="21"/>
        <v>0.16940898872297414</v>
      </c>
      <c r="O41" s="49">
        <f t="shared" si="22"/>
        <v>0.14159570327636864</v>
      </c>
      <c r="P41" s="153">
        <f t="shared" si="23"/>
        <v>0.13476867375148369</v>
      </c>
    </row>
    <row r="42" spans="2:16" s="55" customFormat="1" ht="15" thickBot="1" x14ac:dyDescent="0.4">
      <c r="B42" s="55" t="s">
        <v>98</v>
      </c>
      <c r="C42" s="154">
        <f t="shared" ref="C42:E42" si="24">C40-C41</f>
        <v>247889050.57413369</v>
      </c>
      <c r="D42" s="154">
        <f t="shared" si="24"/>
        <v>256828357.77874571</v>
      </c>
      <c r="E42" s="154">
        <f t="shared" si="24"/>
        <v>341319436.37173033</v>
      </c>
      <c r="F42" s="154">
        <f>F40-F41</f>
        <v>381985677.49070007</v>
      </c>
      <c r="G42" s="154">
        <f>G40-G41</f>
        <v>304683984.79759026</v>
      </c>
      <c r="H42" s="155" t="str">
        <f t="shared" si="16"/>
        <v>▼</v>
      </c>
      <c r="I42" s="156">
        <f t="shared" si="17"/>
        <v>-77301692.69310981</v>
      </c>
      <c r="J42" s="157">
        <f t="shared" si="18"/>
        <v>-0.2023680395582157</v>
      </c>
      <c r="L42" s="56">
        <f t="shared" si="19"/>
        <v>0.87050036118584606</v>
      </c>
      <c r="M42" s="56">
        <f t="shared" si="20"/>
        <v>0.85496587962918702</v>
      </c>
      <c r="N42" s="56">
        <f t="shared" si="21"/>
        <v>0.83059101127702584</v>
      </c>
      <c r="O42" s="56">
        <f t="shared" si="22"/>
        <v>0.85840429672363139</v>
      </c>
      <c r="P42" s="158">
        <f t="shared" si="23"/>
        <v>0.8652313262485164</v>
      </c>
    </row>
    <row r="43" spans="2:16" s="8" customFormat="1" ht="10.25" customHeight="1" x14ac:dyDescent="0.35">
      <c r="B43" s="12"/>
      <c r="C43" s="13">
        <f>C42-C4</f>
        <v>-3.2782554626464844E-7</v>
      </c>
      <c r="D43" s="13">
        <f t="shared" ref="D43:G43" si="25">D42-D4</f>
        <v>0</v>
      </c>
      <c r="E43" s="13">
        <f t="shared" si="25"/>
        <v>0.37173032760620117</v>
      </c>
      <c r="F43" s="13">
        <f t="shared" si="25"/>
        <v>0.49070006608963013</v>
      </c>
      <c r="G43" s="13">
        <f t="shared" si="25"/>
        <v>-0.20240974426269531</v>
      </c>
      <c r="H43" s="28"/>
      <c r="I43" s="14"/>
      <c r="J43" s="15"/>
    </row>
    <row r="44" spans="2:16" ht="18.75" customHeight="1" x14ac:dyDescent="0.35">
      <c r="B44" s="203" t="s">
        <v>89</v>
      </c>
      <c r="J44" s="43"/>
      <c r="L44" s="203" t="s">
        <v>114</v>
      </c>
      <c r="M44" s="203"/>
      <c r="N44" s="203"/>
    </row>
    <row r="45" spans="2:16" ht="8.25" customHeight="1" thickBot="1" x14ac:dyDescent="0.4"/>
    <row r="46" spans="2:16" s="44" customFormat="1" ht="18" customHeight="1" thickBot="1" x14ac:dyDescent="0.4">
      <c r="B46" s="137" t="s">
        <v>115</v>
      </c>
      <c r="C46" s="138">
        <f>C32</f>
        <v>2019</v>
      </c>
      <c r="D46" s="138">
        <f t="shared" ref="D46:G46" si="26">D32</f>
        <v>2020</v>
      </c>
      <c r="E46" s="138">
        <f t="shared" si="26"/>
        <v>2021</v>
      </c>
      <c r="F46" s="138">
        <f t="shared" si="26"/>
        <v>2022</v>
      </c>
      <c r="G46" s="138">
        <f t="shared" si="26"/>
        <v>2023</v>
      </c>
      <c r="H46" s="228" t="str">
        <f>CONCATENATE(G46," vs. ",F46)</f>
        <v>2023 vs. 2022</v>
      </c>
      <c r="I46" s="228"/>
      <c r="J46" s="228"/>
      <c r="L46" s="138">
        <f>C46</f>
        <v>2019</v>
      </c>
      <c r="M46" s="138">
        <f t="shared" ref="M46" si="27">D46</f>
        <v>2020</v>
      </c>
      <c r="N46" s="138">
        <f t="shared" ref="N46" si="28">E46</f>
        <v>2021</v>
      </c>
      <c r="O46" s="138">
        <f t="shared" ref="O46" si="29">F46</f>
        <v>2022</v>
      </c>
      <c r="P46" s="138">
        <f t="shared" ref="P46" si="30">G46</f>
        <v>2023</v>
      </c>
    </row>
    <row r="47" spans="2:16" x14ac:dyDescent="0.35">
      <c r="B47" s="2" t="s">
        <v>90</v>
      </c>
      <c r="C47" s="139">
        <v>213203575.95218</v>
      </c>
      <c r="D47" s="139">
        <v>221265574.59231964</v>
      </c>
      <c r="E47" s="139">
        <v>276755900.76564091</v>
      </c>
      <c r="F47" s="139">
        <v>313728863.26700002</v>
      </c>
      <c r="G47" s="139">
        <v>249100439.352595</v>
      </c>
      <c r="H47" s="139" t="str">
        <f t="shared" ref="H47:H53" si="31">IF(G47+F47&gt;0,IF(G47&gt;F47,"▲",IF(G47=F47,"▬","▼")),IF(G47&gt;F47,"▼",IF(G47=F47,"▬","▲")))</f>
        <v>▼</v>
      </c>
      <c r="I47" s="159">
        <f t="shared" ref="I47:I53" si="32">G47-F47</f>
        <v>-64628423.914405018</v>
      </c>
      <c r="J47" s="146">
        <f t="shared" ref="J47:J53" si="33">G47/F47-1</f>
        <v>-0.20600088637494207</v>
      </c>
      <c r="L47" s="47">
        <f>C47/C$53</f>
        <v>0.8600766167702083</v>
      </c>
      <c r="M47" s="47">
        <f t="shared" ref="M47:M53" si="34">D47/D$53</f>
        <v>0.86153093258859315</v>
      </c>
      <c r="N47" s="47">
        <f t="shared" ref="N47:N53" si="35">E47/E$53</f>
        <v>0.8108413172004586</v>
      </c>
      <c r="O47" s="47">
        <f t="shared" ref="O47:O53" si="36">F47/F$53</f>
        <v>0.82131054056244868</v>
      </c>
      <c r="P47" s="80">
        <f t="shared" ref="P47:P53" si="37">G47/G$53</f>
        <v>0.81756984870103722</v>
      </c>
    </row>
    <row r="48" spans="2:16" x14ac:dyDescent="0.35">
      <c r="B48" s="2" t="s">
        <v>91</v>
      </c>
      <c r="C48" s="139">
        <v>11993519.132300001</v>
      </c>
      <c r="D48" s="139">
        <v>12402731.686426057</v>
      </c>
      <c r="E48" s="139">
        <v>14703881.024655703</v>
      </c>
      <c r="F48" s="139">
        <v>17584021.013700001</v>
      </c>
      <c r="G48" s="139">
        <v>9958084.6392173134</v>
      </c>
      <c r="H48" s="139" t="str">
        <f t="shared" si="31"/>
        <v>▼</v>
      </c>
      <c r="I48" s="159">
        <f t="shared" si="32"/>
        <v>-7625936.3744826876</v>
      </c>
      <c r="J48" s="146">
        <f t="shared" si="33"/>
        <v>-0.43368558127524959</v>
      </c>
      <c r="L48" s="47">
        <f t="shared" ref="L48:L53" si="38">C48/C$53</f>
        <v>4.8382609496151252E-2</v>
      </c>
      <c r="M48" s="47">
        <f t="shared" si="34"/>
        <v>4.8291909015401056E-2</v>
      </c>
      <c r="N48" s="47">
        <f t="shared" si="35"/>
        <v>4.3079530463513906E-2</v>
      </c>
      <c r="O48" s="47">
        <f t="shared" si="36"/>
        <v>4.6033194566903912E-2</v>
      </c>
      <c r="P48" s="80">
        <f t="shared" si="37"/>
        <v>3.2683321526836194E-2</v>
      </c>
    </row>
    <row r="49" spans="2:16" x14ac:dyDescent="0.35">
      <c r="B49" s="2" t="s">
        <v>92</v>
      </c>
      <c r="C49" s="139">
        <v>325902.91000000003</v>
      </c>
      <c r="D49" s="139">
        <v>329149.76</v>
      </c>
      <c r="E49" s="139">
        <v>643853.43000000005</v>
      </c>
      <c r="F49" s="139">
        <v>479171.53</v>
      </c>
      <c r="G49" s="139">
        <v>293094.69999999995</v>
      </c>
      <c r="H49" s="139" t="str">
        <f t="shared" si="31"/>
        <v>▼</v>
      </c>
      <c r="I49" s="159">
        <f t="shared" si="32"/>
        <v>-186076.83000000007</v>
      </c>
      <c r="J49" s="146">
        <f t="shared" si="33"/>
        <v>-0.38833031252921069</v>
      </c>
      <c r="L49" s="47">
        <f t="shared" si="38"/>
        <v>1.3147128089973279E-3</v>
      </c>
      <c r="M49" s="47">
        <f t="shared" si="34"/>
        <v>1.2815943023065945E-3</v>
      </c>
      <c r="N49" s="47">
        <f t="shared" si="35"/>
        <v>1.8863661508967081E-3</v>
      </c>
      <c r="O49" s="47">
        <f t="shared" si="36"/>
        <v>1.254422765658972E-3</v>
      </c>
      <c r="P49" s="80">
        <f t="shared" si="37"/>
        <v>9.6196293413554584E-4</v>
      </c>
    </row>
    <row r="50" spans="2:16" x14ac:dyDescent="0.35">
      <c r="B50" s="2" t="s">
        <v>93</v>
      </c>
      <c r="C50" s="139">
        <v>2787452.6800000006</v>
      </c>
      <c r="D50" s="139">
        <v>3958649.2199999993</v>
      </c>
      <c r="E50" s="139">
        <v>3514730.64</v>
      </c>
      <c r="F50" s="139">
        <v>3141708</v>
      </c>
      <c r="G50" s="139">
        <v>4167180.1000000006</v>
      </c>
      <c r="H50" s="139" t="str">
        <f t="shared" si="31"/>
        <v>▲</v>
      </c>
      <c r="I50" s="159">
        <f t="shared" si="32"/>
        <v>1025472.1000000006</v>
      </c>
      <c r="J50" s="146">
        <f t="shared" si="33"/>
        <v>0.32640592314753647</v>
      </c>
      <c r="L50" s="47">
        <f t="shared" si="38"/>
        <v>1.124475919184008E-2</v>
      </c>
      <c r="M50" s="47">
        <f t="shared" si="34"/>
        <v>1.5413598615968742E-2</v>
      </c>
      <c r="N50" s="47">
        <f t="shared" si="35"/>
        <v>1.029748169364497E-2</v>
      </c>
      <c r="O50" s="47">
        <f t="shared" si="36"/>
        <v>8.2246748638278178E-3</v>
      </c>
      <c r="P50" s="80">
        <f t="shared" si="37"/>
        <v>1.3677056582965363E-2</v>
      </c>
    </row>
    <row r="51" spans="2:16" x14ac:dyDescent="0.35">
      <c r="B51" s="2" t="s">
        <v>94</v>
      </c>
      <c r="C51" s="139">
        <v>16873304.649653725</v>
      </c>
      <c r="D51" s="139">
        <v>17605357.059999999</v>
      </c>
      <c r="E51" s="139">
        <v>43132592.081433646</v>
      </c>
      <c r="F51" s="139">
        <v>37641933.119999982</v>
      </c>
      <c r="G51" s="139">
        <v>32316562.635777943</v>
      </c>
      <c r="H51" s="139" t="str">
        <f t="shared" si="31"/>
        <v>▼</v>
      </c>
      <c r="I51" s="159">
        <f t="shared" si="32"/>
        <v>-5325370.4842220396</v>
      </c>
      <c r="J51" s="146">
        <f t="shared" si="33"/>
        <v>-0.14147441544102191</v>
      </c>
      <c r="L51" s="47">
        <f t="shared" si="38"/>
        <v>6.8067970773915215E-2</v>
      </c>
      <c r="M51" s="47">
        <f t="shared" si="34"/>
        <v>6.8549116664004789E-2</v>
      </c>
      <c r="N51" s="47">
        <f t="shared" si="35"/>
        <v>0.12637016114498575</v>
      </c>
      <c r="O51" s="47">
        <f t="shared" si="36"/>
        <v>9.8542786649157624E-2</v>
      </c>
      <c r="P51" s="80">
        <f t="shared" si="37"/>
        <v>0.10606583951974602</v>
      </c>
    </row>
    <row r="52" spans="2:16" ht="15" thickBot="1" x14ac:dyDescent="0.4">
      <c r="B52" s="2" t="s">
        <v>95</v>
      </c>
      <c r="C52" s="139">
        <f>588143.890000001+2117151.36</f>
        <v>2705295.2500000009</v>
      </c>
      <c r="D52" s="139">
        <v>1266895.459999999</v>
      </c>
      <c r="E52" s="139">
        <v>2568477.6800000006</v>
      </c>
      <c r="F52" s="139">
        <v>9409980.5600000024</v>
      </c>
      <c r="G52" s="139">
        <v>8848623.370000001</v>
      </c>
      <c r="H52" s="139" t="str">
        <f t="shared" si="31"/>
        <v>▼</v>
      </c>
      <c r="I52" s="159">
        <f t="shared" si="32"/>
        <v>-561357.19000000134</v>
      </c>
      <c r="J52" s="146">
        <f t="shared" si="33"/>
        <v>-5.9655510064093198E-2</v>
      </c>
      <c r="L52" s="47">
        <f t="shared" si="38"/>
        <v>1.0913330958887815E-2</v>
      </c>
      <c r="M52" s="47">
        <f t="shared" si="34"/>
        <v>4.9328488137256755E-3</v>
      </c>
      <c r="N52" s="47">
        <f t="shared" si="35"/>
        <v>7.5251433465000055E-3</v>
      </c>
      <c r="O52" s="47">
        <f t="shared" si="36"/>
        <v>2.4634380592002961E-2</v>
      </c>
      <c r="P52" s="80">
        <f t="shared" si="37"/>
        <v>2.9041970735279633E-2</v>
      </c>
    </row>
    <row r="53" spans="2:16" ht="15" thickBot="1" x14ac:dyDescent="0.4">
      <c r="B53" s="4" t="s">
        <v>101</v>
      </c>
      <c r="C53" s="141">
        <f>SUM(C47:C52)</f>
        <v>247889050.57413372</v>
      </c>
      <c r="D53" s="141">
        <f>SUM(D47:D52)</f>
        <v>256828357.77874568</v>
      </c>
      <c r="E53" s="141">
        <f>SUM(E47:E52)</f>
        <v>341319435.62173027</v>
      </c>
      <c r="F53" s="141">
        <f>SUM(F47:F52)</f>
        <v>381985677.49070001</v>
      </c>
      <c r="G53" s="141">
        <f>SUM(G47:G52)</f>
        <v>304683984.79759026</v>
      </c>
      <c r="H53" s="160" t="str">
        <f t="shared" si="31"/>
        <v>▼</v>
      </c>
      <c r="I53" s="161">
        <f t="shared" si="32"/>
        <v>-77301692.693109751</v>
      </c>
      <c r="J53" s="162">
        <f t="shared" si="33"/>
        <v>-0.20236803955821558</v>
      </c>
      <c r="L53" s="48">
        <f t="shared" si="38"/>
        <v>1</v>
      </c>
      <c r="M53" s="48">
        <f t="shared" si="34"/>
        <v>1</v>
      </c>
      <c r="N53" s="48">
        <f t="shared" si="35"/>
        <v>1</v>
      </c>
      <c r="O53" s="48">
        <f t="shared" si="36"/>
        <v>1</v>
      </c>
      <c r="P53" s="81">
        <f t="shared" si="37"/>
        <v>1</v>
      </c>
    </row>
    <row r="54" spans="2:16" ht="15" thickBot="1" x14ac:dyDescent="0.4">
      <c r="B54" s="30" t="s">
        <v>100</v>
      </c>
      <c r="C54" s="39">
        <f>2935541.04-2117151.36</f>
        <v>818389.68000000017</v>
      </c>
      <c r="D54" s="39">
        <v>636965.07999999984</v>
      </c>
      <c r="E54" s="39">
        <v>545349.71</v>
      </c>
      <c r="F54" s="39">
        <v>594236.39000000013</v>
      </c>
      <c r="G54" s="39">
        <v>503388.35000000009</v>
      </c>
      <c r="H54" s="139" t="str">
        <f t="shared" ref="H54:H55" si="39">IF(G54+F54&gt;0,IF(G54&gt;F54,"▲",IF(G54=F54,"▬","▼")),IF(G54&gt;F54,"▼",IF(G54=F54,"▬","▲")))</f>
        <v>▼</v>
      </c>
      <c r="I54" s="159">
        <f t="shared" ref="I54:I55" si="40">G54-F54</f>
        <v>-90848.040000000037</v>
      </c>
      <c r="J54" s="146">
        <f t="shared" ref="J54:J55" si="41">G54/F54-1</f>
        <v>-0.15288198691433219</v>
      </c>
      <c r="L54" s="47">
        <f t="shared" ref="L54:L55" si="42">C54/C$53</f>
        <v>3.3014353724157433E-3</v>
      </c>
      <c r="M54" s="47">
        <f t="shared" ref="M54:M55" si="43">D54/D$53</f>
        <v>2.4801197403159702E-3</v>
      </c>
      <c r="N54" s="47">
        <f t="shared" ref="N54:N55" si="44">E54/E$53</f>
        <v>1.5977692832130066E-3</v>
      </c>
      <c r="O54" s="47">
        <f t="shared" ref="O54:O55" si="45">F54/F$53</f>
        <v>1.5556509707473722E-3</v>
      </c>
      <c r="P54" s="80">
        <f t="shared" ref="P54:P55" si="46">G54/G$53</f>
        <v>1.6521654406430797E-3</v>
      </c>
    </row>
    <row r="55" spans="2:16" ht="15" thickBot="1" x14ac:dyDescent="0.4">
      <c r="B55" s="4" t="s">
        <v>178</v>
      </c>
      <c r="C55" s="141">
        <f>C53+C54</f>
        <v>248707440.25413373</v>
      </c>
      <c r="D55" s="141">
        <f t="shared" ref="D55:G55" si="47">D53+D54</f>
        <v>257465322.85874569</v>
      </c>
      <c r="E55" s="141">
        <f t="shared" si="47"/>
        <v>341864785.33173025</v>
      </c>
      <c r="F55" s="141">
        <f t="shared" si="47"/>
        <v>382579913.88069999</v>
      </c>
      <c r="G55" s="141">
        <f t="shared" si="47"/>
        <v>305187373.14759028</v>
      </c>
      <c r="H55" s="160" t="str">
        <f t="shared" si="39"/>
        <v>▼</v>
      </c>
      <c r="I55" s="161">
        <f t="shared" si="40"/>
        <v>-77392540.733109713</v>
      </c>
      <c r="J55" s="162">
        <f t="shared" si="41"/>
        <v>-0.20229117610508707</v>
      </c>
      <c r="L55" s="48">
        <f t="shared" si="42"/>
        <v>1.0033014353724157</v>
      </c>
      <c r="M55" s="48">
        <f t="shared" si="43"/>
        <v>1.0024801197403159</v>
      </c>
      <c r="N55" s="48">
        <f t="shared" si="44"/>
        <v>1.001597769283213</v>
      </c>
      <c r="O55" s="48">
        <f t="shared" si="45"/>
        <v>1.0015556509707473</v>
      </c>
      <c r="P55" s="81">
        <f t="shared" si="46"/>
        <v>1.0016521654406432</v>
      </c>
    </row>
    <row r="56" spans="2:16" x14ac:dyDescent="0.35">
      <c r="B56" s="30" t="s">
        <v>127</v>
      </c>
      <c r="C56" s="39"/>
      <c r="D56" s="39"/>
      <c r="E56" s="39"/>
      <c r="F56" s="39"/>
      <c r="G56" s="39"/>
    </row>
    <row r="57" spans="2:16" x14ac:dyDescent="0.35">
      <c r="B57" s="11" t="s">
        <v>10</v>
      </c>
      <c r="C57" s="39"/>
      <c r="D57" s="39"/>
      <c r="E57" s="39"/>
      <c r="F57" s="39"/>
      <c r="G57" s="39"/>
    </row>
    <row r="58" spans="2:16" ht="15.5" x14ac:dyDescent="0.35">
      <c r="C58" s="168">
        <f>C53-C42</f>
        <v>0</v>
      </c>
      <c r="D58" s="168">
        <f t="shared" ref="D58:G58" si="48">D53-D42</f>
        <v>0</v>
      </c>
      <c r="E58" s="168">
        <f t="shared" si="48"/>
        <v>-0.75000005960464478</v>
      </c>
      <c r="F58" s="168">
        <f t="shared" si="48"/>
        <v>0</v>
      </c>
      <c r="G58" s="168">
        <f t="shared" si="48"/>
        <v>0</v>
      </c>
      <c r="H58" s="168"/>
    </row>
    <row r="59" spans="2:16" x14ac:dyDescent="0.35">
      <c r="C59" s="39"/>
      <c r="D59" s="39"/>
      <c r="E59" s="39"/>
      <c r="F59" s="39"/>
      <c r="G59" s="39"/>
    </row>
    <row r="60" spans="2:16" x14ac:dyDescent="0.35">
      <c r="C60" s="39"/>
      <c r="D60" s="39"/>
      <c r="E60" s="39"/>
      <c r="F60" s="39"/>
      <c r="G60" s="39"/>
    </row>
    <row r="61" spans="2:16" x14ac:dyDescent="0.35">
      <c r="C61" s="39"/>
      <c r="D61" s="39"/>
      <c r="E61" s="39"/>
      <c r="F61" s="39"/>
      <c r="G61" s="39"/>
    </row>
    <row r="62" spans="2:16" x14ac:dyDescent="0.35">
      <c r="C62" s="39"/>
      <c r="D62" s="39"/>
      <c r="E62" s="39"/>
      <c r="F62" s="39"/>
      <c r="G62" s="39"/>
    </row>
    <row r="63" spans="2:16" x14ac:dyDescent="0.35">
      <c r="C63" s="39"/>
      <c r="D63" s="39"/>
      <c r="E63" s="39"/>
      <c r="F63" s="39"/>
      <c r="G63" s="39"/>
    </row>
    <row r="64" spans="2:16" x14ac:dyDescent="0.35">
      <c r="C64" s="39"/>
      <c r="D64" s="39"/>
      <c r="E64" s="39"/>
      <c r="F64" s="39"/>
      <c r="G64" s="39"/>
    </row>
    <row r="65" spans="3:6" x14ac:dyDescent="0.35">
      <c r="C65" s="39"/>
      <c r="D65" s="39"/>
      <c r="E65" s="39"/>
      <c r="F65" s="39"/>
    </row>
    <row r="66" spans="3:6" x14ac:dyDescent="0.35">
      <c r="C66" s="39"/>
      <c r="D66" s="39"/>
      <c r="E66" s="39"/>
      <c r="F66" s="39"/>
    </row>
    <row r="67" spans="3:6" x14ac:dyDescent="0.35">
      <c r="C67" s="39"/>
      <c r="D67" s="39"/>
      <c r="E67" s="39"/>
      <c r="F67" s="39"/>
    </row>
    <row r="68" spans="3:6" x14ac:dyDescent="0.35">
      <c r="C68" s="39"/>
      <c r="D68" s="39"/>
      <c r="E68" s="39"/>
      <c r="F68" s="39"/>
    </row>
  </sheetData>
  <mergeCells count="3">
    <mergeCell ref="H3:J3"/>
    <mergeCell ref="H46:J46"/>
    <mergeCell ref="H32:J32"/>
  </mergeCells>
  <conditionalFormatting sqref="H4:H28 H47:H55">
    <cfRule type="expression" dxfId="5" priority="1">
      <formula>G4=F4</formula>
    </cfRule>
    <cfRule type="expression" dxfId="4" priority="2">
      <formula>G4&lt;F4</formula>
    </cfRule>
    <cfRule type="expression" dxfId="3" priority="3">
      <formula>G4&gt;F4</formula>
    </cfRule>
  </conditionalFormatting>
  <conditionalFormatting sqref="H33:H42">
    <cfRule type="expression" dxfId="2" priority="46">
      <formula>G33=F33</formula>
    </cfRule>
    <cfRule type="expression" dxfId="1" priority="47">
      <formula>G33&lt;F33</formula>
    </cfRule>
    <cfRule type="expression" dxfId="0" priority="48">
      <formula>G33&gt;F33</formula>
    </cfRule>
  </conditionalFormatting>
  <dataValidations count="1">
    <dataValidation type="list" allowBlank="1" showInputMessage="1" showErrorMessage="1" sqref="T30" xr:uid="{8B72AABE-8EF3-4F4C-A0BE-A388E9F45501}">
      <formula1>"2023,2022,2021,2020,2019"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6"/>
  <sheetViews>
    <sheetView showGridLines="0" zoomScaleNormal="10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J15" sqref="J15"/>
    </sheetView>
  </sheetViews>
  <sheetFormatPr defaultRowHeight="14.5" x14ac:dyDescent="0.35"/>
  <cols>
    <col min="1" max="1" width="85.54296875" style="10" bestFit="1" customWidth="1"/>
    <col min="2" max="2" width="12.08984375" style="10" bestFit="1" customWidth="1"/>
    <col min="3" max="3" width="11.6328125" style="10" bestFit="1" customWidth="1"/>
    <col min="4" max="5" width="12.36328125" style="10" bestFit="1" customWidth="1"/>
    <col min="6" max="6" width="14.36328125" style="10" bestFit="1" customWidth="1"/>
    <col min="7" max="7" width="9.08984375" style="119"/>
    <col min="8" max="8" width="14.6328125" style="119" bestFit="1" customWidth="1"/>
    <col min="9" max="9" width="4.08984375" style="119" customWidth="1"/>
    <col min="10" max="237" width="9.08984375" style="119"/>
    <col min="238" max="238" width="56.36328125" style="119" customWidth="1"/>
    <col min="239" max="239" width="65" style="119" bestFit="1" customWidth="1"/>
    <col min="240" max="240" width="12.54296875" style="119" bestFit="1" customWidth="1"/>
    <col min="241" max="241" width="11.54296875" style="119" bestFit="1" customWidth="1"/>
    <col min="242" max="242" width="12.36328125" style="119" bestFit="1" customWidth="1"/>
    <col min="243" max="244" width="11.54296875" style="119" bestFit="1" customWidth="1"/>
    <col min="245" max="245" width="2.453125" style="119" customWidth="1"/>
    <col min="246" max="493" width="9.08984375" style="119"/>
    <col min="494" max="494" width="56.36328125" style="119" customWidth="1"/>
    <col min="495" max="495" width="65" style="119" bestFit="1" customWidth="1"/>
    <col min="496" max="496" width="12.54296875" style="119" bestFit="1" customWidth="1"/>
    <col min="497" max="497" width="11.54296875" style="119" bestFit="1" customWidth="1"/>
    <col min="498" max="498" width="12.36328125" style="119" bestFit="1" customWidth="1"/>
    <col min="499" max="500" width="11.54296875" style="119" bestFit="1" customWidth="1"/>
    <col min="501" max="501" width="2.453125" style="119" customWidth="1"/>
    <col min="502" max="749" width="9.08984375" style="119"/>
    <col min="750" max="750" width="56.36328125" style="119" customWidth="1"/>
    <col min="751" max="751" width="65" style="119" bestFit="1" customWidth="1"/>
    <col min="752" max="752" width="12.54296875" style="119" bestFit="1" customWidth="1"/>
    <col min="753" max="753" width="11.54296875" style="119" bestFit="1" customWidth="1"/>
    <col min="754" max="754" width="12.36328125" style="119" bestFit="1" customWidth="1"/>
    <col min="755" max="756" width="11.54296875" style="119" bestFit="1" customWidth="1"/>
    <col min="757" max="757" width="2.453125" style="119" customWidth="1"/>
    <col min="758" max="1005" width="9.08984375" style="119"/>
    <col min="1006" max="1006" width="56.36328125" style="119" customWidth="1"/>
    <col min="1007" max="1007" width="65" style="119" bestFit="1" customWidth="1"/>
    <col min="1008" max="1008" width="12.54296875" style="119" bestFit="1" customWidth="1"/>
    <col min="1009" max="1009" width="11.54296875" style="119" bestFit="1" customWidth="1"/>
    <col min="1010" max="1010" width="12.36328125" style="119" bestFit="1" customWidth="1"/>
    <col min="1011" max="1012" width="11.54296875" style="119" bestFit="1" customWidth="1"/>
    <col min="1013" max="1013" width="2.453125" style="119" customWidth="1"/>
    <col min="1014" max="1261" width="9.08984375" style="119"/>
    <col min="1262" max="1262" width="56.36328125" style="119" customWidth="1"/>
    <col min="1263" max="1263" width="65" style="119" bestFit="1" customWidth="1"/>
    <col min="1264" max="1264" width="12.54296875" style="119" bestFit="1" customWidth="1"/>
    <col min="1265" max="1265" width="11.54296875" style="119" bestFit="1" customWidth="1"/>
    <col min="1266" max="1266" width="12.36328125" style="119" bestFit="1" customWidth="1"/>
    <col min="1267" max="1268" width="11.54296875" style="119" bestFit="1" customWidth="1"/>
    <col min="1269" max="1269" width="2.453125" style="119" customWidth="1"/>
    <col min="1270" max="1517" width="9.08984375" style="119"/>
    <col min="1518" max="1518" width="56.36328125" style="119" customWidth="1"/>
    <col min="1519" max="1519" width="65" style="119" bestFit="1" customWidth="1"/>
    <col min="1520" max="1520" width="12.54296875" style="119" bestFit="1" customWidth="1"/>
    <col min="1521" max="1521" width="11.54296875" style="119" bestFit="1" customWidth="1"/>
    <col min="1522" max="1522" width="12.36328125" style="119" bestFit="1" customWidth="1"/>
    <col min="1523" max="1524" width="11.54296875" style="119" bestFit="1" customWidth="1"/>
    <col min="1525" max="1525" width="2.453125" style="119" customWidth="1"/>
    <col min="1526" max="1773" width="9.08984375" style="119"/>
    <col min="1774" max="1774" width="56.36328125" style="119" customWidth="1"/>
    <col min="1775" max="1775" width="65" style="119" bestFit="1" customWidth="1"/>
    <col min="1776" max="1776" width="12.54296875" style="119" bestFit="1" customWidth="1"/>
    <col min="1777" max="1777" width="11.54296875" style="119" bestFit="1" customWidth="1"/>
    <col min="1778" max="1778" width="12.36328125" style="119" bestFit="1" customWidth="1"/>
    <col min="1779" max="1780" width="11.54296875" style="119" bestFit="1" customWidth="1"/>
    <col min="1781" max="1781" width="2.453125" style="119" customWidth="1"/>
    <col min="1782" max="2029" width="9.08984375" style="119"/>
    <col min="2030" max="2030" width="56.36328125" style="119" customWidth="1"/>
    <col min="2031" max="2031" width="65" style="119" bestFit="1" customWidth="1"/>
    <col min="2032" max="2032" width="12.54296875" style="119" bestFit="1" customWidth="1"/>
    <col min="2033" max="2033" width="11.54296875" style="119" bestFit="1" customWidth="1"/>
    <col min="2034" max="2034" width="12.36328125" style="119" bestFit="1" customWidth="1"/>
    <col min="2035" max="2036" width="11.54296875" style="119" bestFit="1" customWidth="1"/>
    <col min="2037" max="2037" width="2.453125" style="119" customWidth="1"/>
    <col min="2038" max="2285" width="9.08984375" style="119"/>
    <col min="2286" max="2286" width="56.36328125" style="119" customWidth="1"/>
    <col min="2287" max="2287" width="65" style="119" bestFit="1" customWidth="1"/>
    <col min="2288" max="2288" width="12.54296875" style="119" bestFit="1" customWidth="1"/>
    <col min="2289" max="2289" width="11.54296875" style="119" bestFit="1" customWidth="1"/>
    <col min="2290" max="2290" width="12.36328125" style="119" bestFit="1" customWidth="1"/>
    <col min="2291" max="2292" width="11.54296875" style="119" bestFit="1" customWidth="1"/>
    <col min="2293" max="2293" width="2.453125" style="119" customWidth="1"/>
    <col min="2294" max="2541" width="9.08984375" style="119"/>
    <col min="2542" max="2542" width="56.36328125" style="119" customWidth="1"/>
    <col min="2543" max="2543" width="65" style="119" bestFit="1" customWidth="1"/>
    <col min="2544" max="2544" width="12.54296875" style="119" bestFit="1" customWidth="1"/>
    <col min="2545" max="2545" width="11.54296875" style="119" bestFit="1" customWidth="1"/>
    <col min="2546" max="2546" width="12.36328125" style="119" bestFit="1" customWidth="1"/>
    <col min="2547" max="2548" width="11.54296875" style="119" bestFit="1" customWidth="1"/>
    <col min="2549" max="2549" width="2.453125" style="119" customWidth="1"/>
    <col min="2550" max="2797" width="9.08984375" style="119"/>
    <col min="2798" max="2798" width="56.36328125" style="119" customWidth="1"/>
    <col min="2799" max="2799" width="65" style="119" bestFit="1" customWidth="1"/>
    <col min="2800" max="2800" width="12.54296875" style="119" bestFit="1" customWidth="1"/>
    <col min="2801" max="2801" width="11.54296875" style="119" bestFit="1" customWidth="1"/>
    <col min="2802" max="2802" width="12.36328125" style="119" bestFit="1" customWidth="1"/>
    <col min="2803" max="2804" width="11.54296875" style="119" bestFit="1" customWidth="1"/>
    <col min="2805" max="2805" width="2.453125" style="119" customWidth="1"/>
    <col min="2806" max="3053" width="9.08984375" style="119"/>
    <col min="3054" max="3054" width="56.36328125" style="119" customWidth="1"/>
    <col min="3055" max="3055" width="65" style="119" bestFit="1" customWidth="1"/>
    <col min="3056" max="3056" width="12.54296875" style="119" bestFit="1" customWidth="1"/>
    <col min="3057" max="3057" width="11.54296875" style="119" bestFit="1" customWidth="1"/>
    <col min="3058" max="3058" width="12.36328125" style="119" bestFit="1" customWidth="1"/>
    <col min="3059" max="3060" width="11.54296875" style="119" bestFit="1" customWidth="1"/>
    <col min="3061" max="3061" width="2.453125" style="119" customWidth="1"/>
    <col min="3062" max="3309" width="9.08984375" style="119"/>
    <col min="3310" max="3310" width="56.36328125" style="119" customWidth="1"/>
    <col min="3311" max="3311" width="65" style="119" bestFit="1" customWidth="1"/>
    <col min="3312" max="3312" width="12.54296875" style="119" bestFit="1" customWidth="1"/>
    <col min="3313" max="3313" width="11.54296875" style="119" bestFit="1" customWidth="1"/>
    <col min="3314" max="3314" width="12.36328125" style="119" bestFit="1" customWidth="1"/>
    <col min="3315" max="3316" width="11.54296875" style="119" bestFit="1" customWidth="1"/>
    <col min="3317" max="3317" width="2.453125" style="119" customWidth="1"/>
    <col min="3318" max="3565" width="9.08984375" style="119"/>
    <col min="3566" max="3566" width="56.36328125" style="119" customWidth="1"/>
    <col min="3567" max="3567" width="65" style="119" bestFit="1" customWidth="1"/>
    <col min="3568" max="3568" width="12.54296875" style="119" bestFit="1" customWidth="1"/>
    <col min="3569" max="3569" width="11.54296875" style="119" bestFit="1" customWidth="1"/>
    <col min="3570" max="3570" width="12.36328125" style="119" bestFit="1" customWidth="1"/>
    <col min="3571" max="3572" width="11.54296875" style="119" bestFit="1" customWidth="1"/>
    <col min="3573" max="3573" width="2.453125" style="119" customWidth="1"/>
    <col min="3574" max="3821" width="9.08984375" style="119"/>
    <col min="3822" max="3822" width="56.36328125" style="119" customWidth="1"/>
    <col min="3823" max="3823" width="65" style="119" bestFit="1" customWidth="1"/>
    <col min="3824" max="3824" width="12.54296875" style="119" bestFit="1" customWidth="1"/>
    <col min="3825" max="3825" width="11.54296875" style="119" bestFit="1" customWidth="1"/>
    <col min="3826" max="3826" width="12.36328125" style="119" bestFit="1" customWidth="1"/>
    <col min="3827" max="3828" width="11.54296875" style="119" bestFit="1" customWidth="1"/>
    <col min="3829" max="3829" width="2.453125" style="119" customWidth="1"/>
    <col min="3830" max="4077" width="9.08984375" style="119"/>
    <col min="4078" max="4078" width="56.36328125" style="119" customWidth="1"/>
    <col min="4079" max="4079" width="65" style="119" bestFit="1" customWidth="1"/>
    <col min="4080" max="4080" width="12.54296875" style="119" bestFit="1" customWidth="1"/>
    <col min="4081" max="4081" width="11.54296875" style="119" bestFit="1" customWidth="1"/>
    <col min="4082" max="4082" width="12.36328125" style="119" bestFit="1" customWidth="1"/>
    <col min="4083" max="4084" width="11.54296875" style="119" bestFit="1" customWidth="1"/>
    <col min="4085" max="4085" width="2.453125" style="119" customWidth="1"/>
    <col min="4086" max="4333" width="9.08984375" style="119"/>
    <col min="4334" max="4334" width="56.36328125" style="119" customWidth="1"/>
    <col min="4335" max="4335" width="65" style="119" bestFit="1" customWidth="1"/>
    <col min="4336" max="4336" width="12.54296875" style="119" bestFit="1" customWidth="1"/>
    <col min="4337" max="4337" width="11.54296875" style="119" bestFit="1" customWidth="1"/>
    <col min="4338" max="4338" width="12.36328125" style="119" bestFit="1" customWidth="1"/>
    <col min="4339" max="4340" width="11.54296875" style="119" bestFit="1" customWidth="1"/>
    <col min="4341" max="4341" width="2.453125" style="119" customWidth="1"/>
    <col min="4342" max="4589" width="9.08984375" style="119"/>
    <col min="4590" max="4590" width="56.36328125" style="119" customWidth="1"/>
    <col min="4591" max="4591" width="65" style="119" bestFit="1" customWidth="1"/>
    <col min="4592" max="4592" width="12.54296875" style="119" bestFit="1" customWidth="1"/>
    <col min="4593" max="4593" width="11.54296875" style="119" bestFit="1" customWidth="1"/>
    <col min="4594" max="4594" width="12.36328125" style="119" bestFit="1" customWidth="1"/>
    <col min="4595" max="4596" width="11.54296875" style="119" bestFit="1" customWidth="1"/>
    <col min="4597" max="4597" width="2.453125" style="119" customWidth="1"/>
    <col min="4598" max="4845" width="9.08984375" style="119"/>
    <col min="4846" max="4846" width="56.36328125" style="119" customWidth="1"/>
    <col min="4847" max="4847" width="65" style="119" bestFit="1" customWidth="1"/>
    <col min="4848" max="4848" width="12.54296875" style="119" bestFit="1" customWidth="1"/>
    <col min="4849" max="4849" width="11.54296875" style="119" bestFit="1" customWidth="1"/>
    <col min="4850" max="4850" width="12.36328125" style="119" bestFit="1" customWidth="1"/>
    <col min="4851" max="4852" width="11.54296875" style="119" bestFit="1" customWidth="1"/>
    <col min="4853" max="4853" width="2.453125" style="119" customWidth="1"/>
    <col min="4854" max="5101" width="9.08984375" style="119"/>
    <col min="5102" max="5102" width="56.36328125" style="119" customWidth="1"/>
    <col min="5103" max="5103" width="65" style="119" bestFit="1" customWidth="1"/>
    <col min="5104" max="5104" width="12.54296875" style="119" bestFit="1" customWidth="1"/>
    <col min="5105" max="5105" width="11.54296875" style="119" bestFit="1" customWidth="1"/>
    <col min="5106" max="5106" width="12.36328125" style="119" bestFit="1" customWidth="1"/>
    <col min="5107" max="5108" width="11.54296875" style="119" bestFit="1" customWidth="1"/>
    <col min="5109" max="5109" width="2.453125" style="119" customWidth="1"/>
    <col min="5110" max="5357" width="9.08984375" style="119"/>
    <col min="5358" max="5358" width="56.36328125" style="119" customWidth="1"/>
    <col min="5359" max="5359" width="65" style="119" bestFit="1" customWidth="1"/>
    <col min="5360" max="5360" width="12.54296875" style="119" bestFit="1" customWidth="1"/>
    <col min="5361" max="5361" width="11.54296875" style="119" bestFit="1" customWidth="1"/>
    <col min="5362" max="5362" width="12.36328125" style="119" bestFit="1" customWidth="1"/>
    <col min="5363" max="5364" width="11.54296875" style="119" bestFit="1" customWidth="1"/>
    <col min="5365" max="5365" width="2.453125" style="119" customWidth="1"/>
    <col min="5366" max="5613" width="9.08984375" style="119"/>
    <col min="5614" max="5614" width="56.36328125" style="119" customWidth="1"/>
    <col min="5615" max="5615" width="65" style="119" bestFit="1" customWidth="1"/>
    <col min="5616" max="5616" width="12.54296875" style="119" bestFit="1" customWidth="1"/>
    <col min="5617" max="5617" width="11.54296875" style="119" bestFit="1" customWidth="1"/>
    <col min="5618" max="5618" width="12.36328125" style="119" bestFit="1" customWidth="1"/>
    <col min="5619" max="5620" width="11.54296875" style="119" bestFit="1" customWidth="1"/>
    <col min="5621" max="5621" width="2.453125" style="119" customWidth="1"/>
    <col min="5622" max="5869" width="9.08984375" style="119"/>
    <col min="5870" max="5870" width="56.36328125" style="119" customWidth="1"/>
    <col min="5871" max="5871" width="65" style="119" bestFit="1" customWidth="1"/>
    <col min="5872" max="5872" width="12.54296875" style="119" bestFit="1" customWidth="1"/>
    <col min="5873" max="5873" width="11.54296875" style="119" bestFit="1" customWidth="1"/>
    <col min="5874" max="5874" width="12.36328125" style="119" bestFit="1" customWidth="1"/>
    <col min="5875" max="5876" width="11.54296875" style="119" bestFit="1" customWidth="1"/>
    <col min="5877" max="5877" width="2.453125" style="119" customWidth="1"/>
    <col min="5878" max="6125" width="9.08984375" style="119"/>
    <col min="6126" max="6126" width="56.36328125" style="119" customWidth="1"/>
    <col min="6127" max="6127" width="65" style="119" bestFit="1" customWidth="1"/>
    <col min="6128" max="6128" width="12.54296875" style="119" bestFit="1" customWidth="1"/>
    <col min="6129" max="6129" width="11.54296875" style="119" bestFit="1" customWidth="1"/>
    <col min="6130" max="6130" width="12.36328125" style="119" bestFit="1" customWidth="1"/>
    <col min="6131" max="6132" width="11.54296875" style="119" bestFit="1" customWidth="1"/>
    <col min="6133" max="6133" width="2.453125" style="119" customWidth="1"/>
    <col min="6134" max="6381" width="9.08984375" style="119"/>
    <col min="6382" max="6382" width="56.36328125" style="119" customWidth="1"/>
    <col min="6383" max="6383" width="65" style="119" bestFit="1" customWidth="1"/>
    <col min="6384" max="6384" width="12.54296875" style="119" bestFit="1" customWidth="1"/>
    <col min="6385" max="6385" width="11.54296875" style="119" bestFit="1" customWidth="1"/>
    <col min="6386" max="6386" width="12.36328125" style="119" bestFit="1" customWidth="1"/>
    <col min="6387" max="6388" width="11.54296875" style="119" bestFit="1" customWidth="1"/>
    <col min="6389" max="6389" width="2.453125" style="119" customWidth="1"/>
    <col min="6390" max="6637" width="9.08984375" style="119"/>
    <col min="6638" max="6638" width="56.36328125" style="119" customWidth="1"/>
    <col min="6639" max="6639" width="65" style="119" bestFit="1" customWidth="1"/>
    <col min="6640" max="6640" width="12.54296875" style="119" bestFit="1" customWidth="1"/>
    <col min="6641" max="6641" width="11.54296875" style="119" bestFit="1" customWidth="1"/>
    <col min="6642" max="6642" width="12.36328125" style="119" bestFit="1" customWidth="1"/>
    <col min="6643" max="6644" width="11.54296875" style="119" bestFit="1" customWidth="1"/>
    <col min="6645" max="6645" width="2.453125" style="119" customWidth="1"/>
    <col min="6646" max="6893" width="9.08984375" style="119"/>
    <col min="6894" max="6894" width="56.36328125" style="119" customWidth="1"/>
    <col min="6895" max="6895" width="65" style="119" bestFit="1" customWidth="1"/>
    <col min="6896" max="6896" width="12.54296875" style="119" bestFit="1" customWidth="1"/>
    <col min="6897" max="6897" width="11.54296875" style="119" bestFit="1" customWidth="1"/>
    <col min="6898" max="6898" width="12.36328125" style="119" bestFit="1" customWidth="1"/>
    <col min="6899" max="6900" width="11.54296875" style="119" bestFit="1" customWidth="1"/>
    <col min="6901" max="6901" width="2.453125" style="119" customWidth="1"/>
    <col min="6902" max="7149" width="9.08984375" style="119"/>
    <col min="7150" max="7150" width="56.36328125" style="119" customWidth="1"/>
    <col min="7151" max="7151" width="65" style="119" bestFit="1" customWidth="1"/>
    <col min="7152" max="7152" width="12.54296875" style="119" bestFit="1" customWidth="1"/>
    <col min="7153" max="7153" width="11.54296875" style="119" bestFit="1" customWidth="1"/>
    <col min="7154" max="7154" width="12.36328125" style="119" bestFit="1" customWidth="1"/>
    <col min="7155" max="7156" width="11.54296875" style="119" bestFit="1" customWidth="1"/>
    <col min="7157" max="7157" width="2.453125" style="119" customWidth="1"/>
    <col min="7158" max="7405" width="9.08984375" style="119"/>
    <col min="7406" max="7406" width="56.36328125" style="119" customWidth="1"/>
    <col min="7407" max="7407" width="65" style="119" bestFit="1" customWidth="1"/>
    <col min="7408" max="7408" width="12.54296875" style="119" bestFit="1" customWidth="1"/>
    <col min="7409" max="7409" width="11.54296875" style="119" bestFit="1" customWidth="1"/>
    <col min="7410" max="7410" width="12.36328125" style="119" bestFit="1" customWidth="1"/>
    <col min="7411" max="7412" width="11.54296875" style="119" bestFit="1" customWidth="1"/>
    <col min="7413" max="7413" width="2.453125" style="119" customWidth="1"/>
    <col min="7414" max="7661" width="9.08984375" style="119"/>
    <col min="7662" max="7662" width="56.36328125" style="119" customWidth="1"/>
    <col min="7663" max="7663" width="65" style="119" bestFit="1" customWidth="1"/>
    <col min="7664" max="7664" width="12.54296875" style="119" bestFit="1" customWidth="1"/>
    <col min="7665" max="7665" width="11.54296875" style="119" bestFit="1" customWidth="1"/>
    <col min="7666" max="7666" width="12.36328125" style="119" bestFit="1" customWidth="1"/>
    <col min="7667" max="7668" width="11.54296875" style="119" bestFit="1" customWidth="1"/>
    <col min="7669" max="7669" width="2.453125" style="119" customWidth="1"/>
    <col min="7670" max="7917" width="9.08984375" style="119"/>
    <col min="7918" max="7918" width="56.36328125" style="119" customWidth="1"/>
    <col min="7919" max="7919" width="65" style="119" bestFit="1" customWidth="1"/>
    <col min="7920" max="7920" width="12.54296875" style="119" bestFit="1" customWidth="1"/>
    <col min="7921" max="7921" width="11.54296875" style="119" bestFit="1" customWidth="1"/>
    <col min="7922" max="7922" width="12.36328125" style="119" bestFit="1" customWidth="1"/>
    <col min="7923" max="7924" width="11.54296875" style="119" bestFit="1" customWidth="1"/>
    <col min="7925" max="7925" width="2.453125" style="119" customWidth="1"/>
    <col min="7926" max="8173" width="9.08984375" style="119"/>
    <col min="8174" max="8174" width="56.36328125" style="119" customWidth="1"/>
    <col min="8175" max="8175" width="65" style="119" bestFit="1" customWidth="1"/>
    <col min="8176" max="8176" width="12.54296875" style="119" bestFit="1" customWidth="1"/>
    <col min="8177" max="8177" width="11.54296875" style="119" bestFit="1" customWidth="1"/>
    <col min="8178" max="8178" width="12.36328125" style="119" bestFit="1" customWidth="1"/>
    <col min="8179" max="8180" width="11.54296875" style="119" bestFit="1" customWidth="1"/>
    <col min="8181" max="8181" width="2.453125" style="119" customWidth="1"/>
    <col min="8182" max="8429" width="9.08984375" style="119"/>
    <col min="8430" max="8430" width="56.36328125" style="119" customWidth="1"/>
    <col min="8431" max="8431" width="65" style="119" bestFit="1" customWidth="1"/>
    <col min="8432" max="8432" width="12.54296875" style="119" bestFit="1" customWidth="1"/>
    <col min="8433" max="8433" width="11.54296875" style="119" bestFit="1" customWidth="1"/>
    <col min="8434" max="8434" width="12.36328125" style="119" bestFit="1" customWidth="1"/>
    <col min="8435" max="8436" width="11.54296875" style="119" bestFit="1" customWidth="1"/>
    <col min="8437" max="8437" width="2.453125" style="119" customWidth="1"/>
    <col min="8438" max="8685" width="9.08984375" style="119"/>
    <col min="8686" max="8686" width="56.36328125" style="119" customWidth="1"/>
    <col min="8687" max="8687" width="65" style="119" bestFit="1" customWidth="1"/>
    <col min="8688" max="8688" width="12.54296875" style="119" bestFit="1" customWidth="1"/>
    <col min="8689" max="8689" width="11.54296875" style="119" bestFit="1" customWidth="1"/>
    <col min="8690" max="8690" width="12.36328125" style="119" bestFit="1" customWidth="1"/>
    <col min="8691" max="8692" width="11.54296875" style="119" bestFit="1" customWidth="1"/>
    <col min="8693" max="8693" width="2.453125" style="119" customWidth="1"/>
    <col min="8694" max="8941" width="9.08984375" style="119"/>
    <col min="8942" max="8942" width="56.36328125" style="119" customWidth="1"/>
    <col min="8943" max="8943" width="65" style="119" bestFit="1" customWidth="1"/>
    <col min="8944" max="8944" width="12.54296875" style="119" bestFit="1" customWidth="1"/>
    <col min="8945" max="8945" width="11.54296875" style="119" bestFit="1" customWidth="1"/>
    <col min="8946" max="8946" width="12.36328125" style="119" bestFit="1" customWidth="1"/>
    <col min="8947" max="8948" width="11.54296875" style="119" bestFit="1" customWidth="1"/>
    <col min="8949" max="8949" width="2.453125" style="119" customWidth="1"/>
    <col min="8950" max="9197" width="9.08984375" style="119"/>
    <col min="9198" max="9198" width="56.36328125" style="119" customWidth="1"/>
    <col min="9199" max="9199" width="65" style="119" bestFit="1" customWidth="1"/>
    <col min="9200" max="9200" width="12.54296875" style="119" bestFit="1" customWidth="1"/>
    <col min="9201" max="9201" width="11.54296875" style="119" bestFit="1" customWidth="1"/>
    <col min="9202" max="9202" width="12.36328125" style="119" bestFit="1" customWidth="1"/>
    <col min="9203" max="9204" width="11.54296875" style="119" bestFit="1" customWidth="1"/>
    <col min="9205" max="9205" width="2.453125" style="119" customWidth="1"/>
    <col min="9206" max="9453" width="9.08984375" style="119"/>
    <col min="9454" max="9454" width="56.36328125" style="119" customWidth="1"/>
    <col min="9455" max="9455" width="65" style="119" bestFit="1" customWidth="1"/>
    <col min="9456" max="9456" width="12.54296875" style="119" bestFit="1" customWidth="1"/>
    <col min="9457" max="9457" width="11.54296875" style="119" bestFit="1" customWidth="1"/>
    <col min="9458" max="9458" width="12.36328125" style="119" bestFit="1" customWidth="1"/>
    <col min="9459" max="9460" width="11.54296875" style="119" bestFit="1" customWidth="1"/>
    <col min="9461" max="9461" width="2.453125" style="119" customWidth="1"/>
    <col min="9462" max="9709" width="9.08984375" style="119"/>
    <col min="9710" max="9710" width="56.36328125" style="119" customWidth="1"/>
    <col min="9711" max="9711" width="65" style="119" bestFit="1" customWidth="1"/>
    <col min="9712" max="9712" width="12.54296875" style="119" bestFit="1" customWidth="1"/>
    <col min="9713" max="9713" width="11.54296875" style="119" bestFit="1" customWidth="1"/>
    <col min="9714" max="9714" width="12.36328125" style="119" bestFit="1" customWidth="1"/>
    <col min="9715" max="9716" width="11.54296875" style="119" bestFit="1" customWidth="1"/>
    <col min="9717" max="9717" width="2.453125" style="119" customWidth="1"/>
    <col min="9718" max="9965" width="9.08984375" style="119"/>
    <col min="9966" max="9966" width="56.36328125" style="119" customWidth="1"/>
    <col min="9967" max="9967" width="65" style="119" bestFit="1" customWidth="1"/>
    <col min="9968" max="9968" width="12.54296875" style="119" bestFit="1" customWidth="1"/>
    <col min="9969" max="9969" width="11.54296875" style="119" bestFit="1" customWidth="1"/>
    <col min="9970" max="9970" width="12.36328125" style="119" bestFit="1" customWidth="1"/>
    <col min="9971" max="9972" width="11.54296875" style="119" bestFit="1" customWidth="1"/>
    <col min="9973" max="9973" width="2.453125" style="119" customWidth="1"/>
    <col min="9974" max="10221" width="9.08984375" style="119"/>
    <col min="10222" max="10222" width="56.36328125" style="119" customWidth="1"/>
    <col min="10223" max="10223" width="65" style="119" bestFit="1" customWidth="1"/>
    <col min="10224" max="10224" width="12.54296875" style="119" bestFit="1" customWidth="1"/>
    <col min="10225" max="10225" width="11.54296875" style="119" bestFit="1" customWidth="1"/>
    <col min="10226" max="10226" width="12.36328125" style="119" bestFit="1" customWidth="1"/>
    <col min="10227" max="10228" width="11.54296875" style="119" bestFit="1" customWidth="1"/>
    <col min="10229" max="10229" width="2.453125" style="119" customWidth="1"/>
    <col min="10230" max="10477" width="9.08984375" style="119"/>
    <col min="10478" max="10478" width="56.36328125" style="119" customWidth="1"/>
    <col min="10479" max="10479" width="65" style="119" bestFit="1" customWidth="1"/>
    <col min="10480" max="10480" width="12.54296875" style="119" bestFit="1" customWidth="1"/>
    <col min="10481" max="10481" width="11.54296875" style="119" bestFit="1" customWidth="1"/>
    <col min="10482" max="10482" width="12.36328125" style="119" bestFit="1" customWidth="1"/>
    <col min="10483" max="10484" width="11.54296875" style="119" bestFit="1" customWidth="1"/>
    <col min="10485" max="10485" width="2.453125" style="119" customWidth="1"/>
    <col min="10486" max="10733" width="9.08984375" style="119"/>
    <col min="10734" max="10734" width="56.36328125" style="119" customWidth="1"/>
    <col min="10735" max="10735" width="65" style="119" bestFit="1" customWidth="1"/>
    <col min="10736" max="10736" width="12.54296875" style="119" bestFit="1" customWidth="1"/>
    <col min="10737" max="10737" width="11.54296875" style="119" bestFit="1" customWidth="1"/>
    <col min="10738" max="10738" width="12.36328125" style="119" bestFit="1" customWidth="1"/>
    <col min="10739" max="10740" width="11.54296875" style="119" bestFit="1" customWidth="1"/>
    <col min="10741" max="10741" width="2.453125" style="119" customWidth="1"/>
    <col min="10742" max="10989" width="9.08984375" style="119"/>
    <col min="10990" max="10990" width="56.36328125" style="119" customWidth="1"/>
    <col min="10991" max="10991" width="65" style="119" bestFit="1" customWidth="1"/>
    <col min="10992" max="10992" width="12.54296875" style="119" bestFit="1" customWidth="1"/>
    <col min="10993" max="10993" width="11.54296875" style="119" bestFit="1" customWidth="1"/>
    <col min="10994" max="10994" width="12.36328125" style="119" bestFit="1" customWidth="1"/>
    <col min="10995" max="10996" width="11.54296875" style="119" bestFit="1" customWidth="1"/>
    <col min="10997" max="10997" width="2.453125" style="119" customWidth="1"/>
    <col min="10998" max="11245" width="9.08984375" style="119"/>
    <col min="11246" max="11246" width="56.36328125" style="119" customWidth="1"/>
    <col min="11247" max="11247" width="65" style="119" bestFit="1" customWidth="1"/>
    <col min="11248" max="11248" width="12.54296875" style="119" bestFit="1" customWidth="1"/>
    <col min="11249" max="11249" width="11.54296875" style="119" bestFit="1" customWidth="1"/>
    <col min="11250" max="11250" width="12.36328125" style="119" bestFit="1" customWidth="1"/>
    <col min="11251" max="11252" width="11.54296875" style="119" bestFit="1" customWidth="1"/>
    <col min="11253" max="11253" width="2.453125" style="119" customWidth="1"/>
    <col min="11254" max="11501" width="9.08984375" style="119"/>
    <col min="11502" max="11502" width="56.36328125" style="119" customWidth="1"/>
    <col min="11503" max="11503" width="65" style="119" bestFit="1" customWidth="1"/>
    <col min="11504" max="11504" width="12.54296875" style="119" bestFit="1" customWidth="1"/>
    <col min="11505" max="11505" width="11.54296875" style="119" bestFit="1" customWidth="1"/>
    <col min="11506" max="11506" width="12.36328125" style="119" bestFit="1" customWidth="1"/>
    <col min="11507" max="11508" width="11.54296875" style="119" bestFit="1" customWidth="1"/>
    <col min="11509" max="11509" width="2.453125" style="119" customWidth="1"/>
    <col min="11510" max="11757" width="9.08984375" style="119"/>
    <col min="11758" max="11758" width="56.36328125" style="119" customWidth="1"/>
    <col min="11759" max="11759" width="65" style="119" bestFit="1" customWidth="1"/>
    <col min="11760" max="11760" width="12.54296875" style="119" bestFit="1" customWidth="1"/>
    <col min="11761" max="11761" width="11.54296875" style="119" bestFit="1" customWidth="1"/>
    <col min="11762" max="11762" width="12.36328125" style="119" bestFit="1" customWidth="1"/>
    <col min="11763" max="11764" width="11.54296875" style="119" bestFit="1" customWidth="1"/>
    <col min="11765" max="11765" width="2.453125" style="119" customWidth="1"/>
    <col min="11766" max="12013" width="9.08984375" style="119"/>
    <col min="12014" max="12014" width="56.36328125" style="119" customWidth="1"/>
    <col min="12015" max="12015" width="65" style="119" bestFit="1" customWidth="1"/>
    <col min="12016" max="12016" width="12.54296875" style="119" bestFit="1" customWidth="1"/>
    <col min="12017" max="12017" width="11.54296875" style="119" bestFit="1" customWidth="1"/>
    <col min="12018" max="12018" width="12.36328125" style="119" bestFit="1" customWidth="1"/>
    <col min="12019" max="12020" width="11.54296875" style="119" bestFit="1" customWidth="1"/>
    <col min="12021" max="12021" width="2.453125" style="119" customWidth="1"/>
    <col min="12022" max="12269" width="9.08984375" style="119"/>
    <col min="12270" max="12270" width="56.36328125" style="119" customWidth="1"/>
    <col min="12271" max="12271" width="65" style="119" bestFit="1" customWidth="1"/>
    <col min="12272" max="12272" width="12.54296875" style="119" bestFit="1" customWidth="1"/>
    <col min="12273" max="12273" width="11.54296875" style="119" bestFit="1" customWidth="1"/>
    <col min="12274" max="12274" width="12.36328125" style="119" bestFit="1" customWidth="1"/>
    <col min="12275" max="12276" width="11.54296875" style="119" bestFit="1" customWidth="1"/>
    <col min="12277" max="12277" width="2.453125" style="119" customWidth="1"/>
    <col min="12278" max="12525" width="9.08984375" style="119"/>
    <col min="12526" max="12526" width="56.36328125" style="119" customWidth="1"/>
    <col min="12527" max="12527" width="65" style="119" bestFit="1" customWidth="1"/>
    <col min="12528" max="12528" width="12.54296875" style="119" bestFit="1" customWidth="1"/>
    <col min="12529" max="12529" width="11.54296875" style="119" bestFit="1" customWidth="1"/>
    <col min="12530" max="12530" width="12.36328125" style="119" bestFit="1" customWidth="1"/>
    <col min="12531" max="12532" width="11.54296875" style="119" bestFit="1" customWidth="1"/>
    <col min="12533" max="12533" width="2.453125" style="119" customWidth="1"/>
    <col min="12534" max="12781" width="9.08984375" style="119"/>
    <col min="12782" max="12782" width="56.36328125" style="119" customWidth="1"/>
    <col min="12783" max="12783" width="65" style="119" bestFit="1" customWidth="1"/>
    <col min="12784" max="12784" width="12.54296875" style="119" bestFit="1" customWidth="1"/>
    <col min="12785" max="12785" width="11.54296875" style="119" bestFit="1" customWidth="1"/>
    <col min="12786" max="12786" width="12.36328125" style="119" bestFit="1" customWidth="1"/>
    <col min="12787" max="12788" width="11.54296875" style="119" bestFit="1" customWidth="1"/>
    <col min="12789" max="12789" width="2.453125" style="119" customWidth="1"/>
    <col min="12790" max="13037" width="9.08984375" style="119"/>
    <col min="13038" max="13038" width="56.36328125" style="119" customWidth="1"/>
    <col min="13039" max="13039" width="65" style="119" bestFit="1" customWidth="1"/>
    <col min="13040" max="13040" width="12.54296875" style="119" bestFit="1" customWidth="1"/>
    <col min="13041" max="13041" width="11.54296875" style="119" bestFit="1" customWidth="1"/>
    <col min="13042" max="13042" width="12.36328125" style="119" bestFit="1" customWidth="1"/>
    <col min="13043" max="13044" width="11.54296875" style="119" bestFit="1" customWidth="1"/>
    <col min="13045" max="13045" width="2.453125" style="119" customWidth="1"/>
    <col min="13046" max="13293" width="9.08984375" style="119"/>
    <col min="13294" max="13294" width="56.36328125" style="119" customWidth="1"/>
    <col min="13295" max="13295" width="65" style="119" bestFit="1" customWidth="1"/>
    <col min="13296" max="13296" width="12.54296875" style="119" bestFit="1" customWidth="1"/>
    <col min="13297" max="13297" width="11.54296875" style="119" bestFit="1" customWidth="1"/>
    <col min="13298" max="13298" width="12.36328125" style="119" bestFit="1" customWidth="1"/>
    <col min="13299" max="13300" width="11.54296875" style="119" bestFit="1" customWidth="1"/>
    <col min="13301" max="13301" width="2.453125" style="119" customWidth="1"/>
    <col min="13302" max="13549" width="9.08984375" style="119"/>
    <col min="13550" max="13550" width="56.36328125" style="119" customWidth="1"/>
    <col min="13551" max="13551" width="65" style="119" bestFit="1" customWidth="1"/>
    <col min="13552" max="13552" width="12.54296875" style="119" bestFit="1" customWidth="1"/>
    <col min="13553" max="13553" width="11.54296875" style="119" bestFit="1" customWidth="1"/>
    <col min="13554" max="13554" width="12.36328125" style="119" bestFit="1" customWidth="1"/>
    <col min="13555" max="13556" width="11.54296875" style="119" bestFit="1" customWidth="1"/>
    <col min="13557" max="13557" width="2.453125" style="119" customWidth="1"/>
    <col min="13558" max="13805" width="9.08984375" style="119"/>
    <col min="13806" max="13806" width="56.36328125" style="119" customWidth="1"/>
    <col min="13807" max="13807" width="65" style="119" bestFit="1" customWidth="1"/>
    <col min="13808" max="13808" width="12.54296875" style="119" bestFit="1" customWidth="1"/>
    <col min="13809" max="13809" width="11.54296875" style="119" bestFit="1" customWidth="1"/>
    <col min="13810" max="13810" width="12.36328125" style="119" bestFit="1" customWidth="1"/>
    <col min="13811" max="13812" width="11.54296875" style="119" bestFit="1" customWidth="1"/>
    <col min="13813" max="13813" width="2.453125" style="119" customWidth="1"/>
    <col min="13814" max="14061" width="9.08984375" style="119"/>
    <col min="14062" max="14062" width="56.36328125" style="119" customWidth="1"/>
    <col min="14063" max="14063" width="65" style="119" bestFit="1" customWidth="1"/>
    <col min="14064" max="14064" width="12.54296875" style="119" bestFit="1" customWidth="1"/>
    <col min="14065" max="14065" width="11.54296875" style="119" bestFit="1" customWidth="1"/>
    <col min="14066" max="14066" width="12.36328125" style="119" bestFit="1" customWidth="1"/>
    <col min="14067" max="14068" width="11.54296875" style="119" bestFit="1" customWidth="1"/>
    <col min="14069" max="14069" width="2.453125" style="119" customWidth="1"/>
    <col min="14070" max="14317" width="9.08984375" style="119"/>
    <col min="14318" max="14318" width="56.36328125" style="119" customWidth="1"/>
    <col min="14319" max="14319" width="65" style="119" bestFit="1" customWidth="1"/>
    <col min="14320" max="14320" width="12.54296875" style="119" bestFit="1" customWidth="1"/>
    <col min="14321" max="14321" width="11.54296875" style="119" bestFit="1" customWidth="1"/>
    <col min="14322" max="14322" width="12.36328125" style="119" bestFit="1" customWidth="1"/>
    <col min="14323" max="14324" width="11.54296875" style="119" bestFit="1" customWidth="1"/>
    <col min="14325" max="14325" width="2.453125" style="119" customWidth="1"/>
    <col min="14326" max="14573" width="9.08984375" style="119"/>
    <col min="14574" max="14574" width="56.36328125" style="119" customWidth="1"/>
    <col min="14575" max="14575" width="65" style="119" bestFit="1" customWidth="1"/>
    <col min="14576" max="14576" width="12.54296875" style="119" bestFit="1" customWidth="1"/>
    <col min="14577" max="14577" width="11.54296875" style="119" bestFit="1" customWidth="1"/>
    <col min="14578" max="14578" width="12.36328125" style="119" bestFit="1" customWidth="1"/>
    <col min="14579" max="14580" width="11.54296875" style="119" bestFit="1" customWidth="1"/>
    <col min="14581" max="14581" width="2.453125" style="119" customWidth="1"/>
    <col min="14582" max="14829" width="9.08984375" style="119"/>
    <col min="14830" max="14830" width="56.36328125" style="119" customWidth="1"/>
    <col min="14831" max="14831" width="65" style="119" bestFit="1" customWidth="1"/>
    <col min="14832" max="14832" width="12.54296875" style="119" bestFit="1" customWidth="1"/>
    <col min="14833" max="14833" width="11.54296875" style="119" bestFit="1" customWidth="1"/>
    <col min="14834" max="14834" width="12.36328125" style="119" bestFit="1" customWidth="1"/>
    <col min="14835" max="14836" width="11.54296875" style="119" bestFit="1" customWidth="1"/>
    <col min="14837" max="14837" width="2.453125" style="119" customWidth="1"/>
    <col min="14838" max="15085" width="9.08984375" style="119"/>
    <col min="15086" max="15086" width="56.36328125" style="119" customWidth="1"/>
    <col min="15087" max="15087" width="65" style="119" bestFit="1" customWidth="1"/>
    <col min="15088" max="15088" width="12.54296875" style="119" bestFit="1" customWidth="1"/>
    <col min="15089" max="15089" width="11.54296875" style="119" bestFit="1" customWidth="1"/>
    <col min="15090" max="15090" width="12.36328125" style="119" bestFit="1" customWidth="1"/>
    <col min="15091" max="15092" width="11.54296875" style="119" bestFit="1" customWidth="1"/>
    <col min="15093" max="15093" width="2.453125" style="119" customWidth="1"/>
    <col min="15094" max="15341" width="9.08984375" style="119"/>
    <col min="15342" max="15342" width="56.36328125" style="119" customWidth="1"/>
    <col min="15343" max="15343" width="65" style="119" bestFit="1" customWidth="1"/>
    <col min="15344" max="15344" width="12.54296875" style="119" bestFit="1" customWidth="1"/>
    <col min="15345" max="15345" width="11.54296875" style="119" bestFit="1" customWidth="1"/>
    <col min="15346" max="15346" width="12.36328125" style="119" bestFit="1" customWidth="1"/>
    <col min="15347" max="15348" width="11.54296875" style="119" bestFit="1" customWidth="1"/>
    <col min="15349" max="15349" width="2.453125" style="119" customWidth="1"/>
    <col min="15350" max="15597" width="9.08984375" style="119"/>
    <col min="15598" max="15598" width="56.36328125" style="119" customWidth="1"/>
    <col min="15599" max="15599" width="65" style="119" bestFit="1" customWidth="1"/>
    <col min="15600" max="15600" width="12.54296875" style="119" bestFit="1" customWidth="1"/>
    <col min="15601" max="15601" width="11.54296875" style="119" bestFit="1" customWidth="1"/>
    <col min="15602" max="15602" width="12.36328125" style="119" bestFit="1" customWidth="1"/>
    <col min="15603" max="15604" width="11.54296875" style="119" bestFit="1" customWidth="1"/>
    <col min="15605" max="15605" width="2.453125" style="119" customWidth="1"/>
    <col min="15606" max="15853" width="9.08984375" style="119"/>
    <col min="15854" max="15854" width="56.36328125" style="119" customWidth="1"/>
    <col min="15855" max="15855" width="65" style="119" bestFit="1" customWidth="1"/>
    <col min="15856" max="15856" width="12.54296875" style="119" bestFit="1" customWidth="1"/>
    <col min="15857" max="15857" width="11.54296875" style="119" bestFit="1" customWidth="1"/>
    <col min="15858" max="15858" width="12.36328125" style="119" bestFit="1" customWidth="1"/>
    <col min="15859" max="15860" width="11.54296875" style="119" bestFit="1" customWidth="1"/>
    <col min="15861" max="15861" width="2.453125" style="119" customWidth="1"/>
    <col min="15862" max="16109" width="9.08984375" style="119"/>
    <col min="16110" max="16110" width="56.36328125" style="119" customWidth="1"/>
    <col min="16111" max="16111" width="65" style="119" bestFit="1" customWidth="1"/>
    <col min="16112" max="16112" width="12.54296875" style="119" bestFit="1" customWidth="1"/>
    <col min="16113" max="16113" width="11.54296875" style="119" bestFit="1" customWidth="1"/>
    <col min="16114" max="16114" width="12.36328125" style="119" bestFit="1" customWidth="1"/>
    <col min="16115" max="16116" width="11.54296875" style="119" bestFit="1" customWidth="1"/>
    <col min="16117" max="16117" width="2.453125" style="119" customWidth="1"/>
    <col min="16118" max="16364" width="9.08984375" style="119"/>
    <col min="16365" max="16384" width="9.08984375" style="119" customWidth="1"/>
  </cols>
  <sheetData>
    <row r="1" spans="1:9" ht="18.649999999999999" customHeight="1" x14ac:dyDescent="0.35">
      <c r="A1" s="10" t="s">
        <v>174</v>
      </c>
      <c r="F1" s="120"/>
    </row>
    <row r="2" spans="1:9" ht="19.75" customHeight="1" thickBot="1" x14ac:dyDescent="0.4">
      <c r="A2" s="214"/>
      <c r="B2" s="204">
        <v>43830</v>
      </c>
      <c r="C2" s="204">
        <v>44196</v>
      </c>
      <c r="D2" s="204">
        <v>44561</v>
      </c>
      <c r="E2" s="204">
        <v>44926</v>
      </c>
      <c r="F2" s="205">
        <v>45291</v>
      </c>
    </row>
    <row r="3" spans="1:9" x14ac:dyDescent="0.35">
      <c r="A3" s="209" t="s">
        <v>181</v>
      </c>
      <c r="B3" s="207"/>
      <c r="C3" s="207"/>
      <c r="D3" s="207"/>
      <c r="E3" s="207"/>
      <c r="F3" s="208"/>
      <c r="H3" s="163"/>
      <c r="I3" s="163"/>
    </row>
    <row r="4" spans="1:9" x14ac:dyDescent="0.35">
      <c r="A4" s="171" t="s">
        <v>182</v>
      </c>
      <c r="B4" s="172">
        <v>-2617101.3881609687</v>
      </c>
      <c r="C4" s="172">
        <v>-83966</v>
      </c>
      <c r="D4" s="172">
        <v>1790612</v>
      </c>
      <c r="E4" s="172">
        <v>56124754.93058265</v>
      </c>
      <c r="F4" s="173">
        <v>-5135847.162158018</v>
      </c>
      <c r="H4" s="163"/>
      <c r="I4" s="163"/>
    </row>
    <row r="5" spans="1:9" x14ac:dyDescent="0.35">
      <c r="A5" s="121" t="s">
        <v>183</v>
      </c>
      <c r="B5" s="122"/>
      <c r="C5" s="122"/>
      <c r="D5" s="122"/>
      <c r="E5" s="122"/>
      <c r="F5" s="174"/>
      <c r="H5" s="163"/>
      <c r="I5" s="163"/>
    </row>
    <row r="6" spans="1:9" x14ac:dyDescent="0.35">
      <c r="A6" s="175" t="s">
        <v>184</v>
      </c>
      <c r="B6" s="122">
        <v>274293</v>
      </c>
      <c r="C6" s="122">
        <v>267650</v>
      </c>
      <c r="D6" s="122">
        <v>928652</v>
      </c>
      <c r="E6" s="122">
        <v>1066842</v>
      </c>
      <c r="F6" s="174">
        <v>242991</v>
      </c>
      <c r="H6" s="163"/>
      <c r="I6" s="163"/>
    </row>
    <row r="7" spans="1:9" x14ac:dyDescent="0.35">
      <c r="A7" s="175" t="s">
        <v>185</v>
      </c>
      <c r="B7" s="122">
        <v>2702278.9593946254</v>
      </c>
      <c r="C7" s="122">
        <v>3417671.0681956182</v>
      </c>
      <c r="D7" s="122">
        <v>2009060.9013820472</v>
      </c>
      <c r="E7" s="122">
        <v>2810678.6063043703</v>
      </c>
      <c r="F7" s="174">
        <v>3620435.7221580162</v>
      </c>
      <c r="H7" s="163"/>
      <c r="I7" s="163"/>
    </row>
    <row r="8" spans="1:9" x14ac:dyDescent="0.35">
      <c r="A8" s="175" t="s">
        <v>186</v>
      </c>
      <c r="B8" s="122">
        <v>336488.18000000098</v>
      </c>
      <c r="C8" s="122">
        <v>41999.51000000049</v>
      </c>
      <c r="D8" s="122">
        <v>3461.5</v>
      </c>
      <c r="E8" s="122">
        <v>-915742.01</v>
      </c>
      <c r="F8" s="174">
        <v>-9603.2547619047618</v>
      </c>
      <c r="H8" s="163"/>
      <c r="I8" s="163"/>
    </row>
    <row r="9" spans="1:9" x14ac:dyDescent="0.35">
      <c r="A9" s="175" t="s">
        <v>187</v>
      </c>
      <c r="B9" s="122">
        <v>0</v>
      </c>
      <c r="C9" s="122">
        <v>69661.810000000056</v>
      </c>
      <c r="D9" s="122">
        <v>-411233</v>
      </c>
      <c r="E9" s="122">
        <v>-1191307</v>
      </c>
      <c r="F9" s="174">
        <v>0</v>
      </c>
      <c r="H9" s="163"/>
      <c r="I9" s="163"/>
    </row>
    <row r="10" spans="1:9" x14ac:dyDescent="0.35">
      <c r="A10" s="175" t="s">
        <v>188</v>
      </c>
      <c r="B10" s="122">
        <v>-185760.11000000127</v>
      </c>
      <c r="C10" s="122">
        <v>-228608.18999999948</v>
      </c>
      <c r="D10" s="122">
        <v>0</v>
      </c>
      <c r="E10" s="122"/>
      <c r="F10" s="174">
        <v>-3992451</v>
      </c>
      <c r="H10" s="163"/>
      <c r="I10" s="163"/>
    </row>
    <row r="11" spans="1:9" x14ac:dyDescent="0.35">
      <c r="A11" s="175" t="s">
        <v>189</v>
      </c>
      <c r="B11" s="122">
        <v>0</v>
      </c>
      <c r="C11" s="122">
        <v>0</v>
      </c>
      <c r="D11" s="122">
        <v>0</v>
      </c>
      <c r="E11" s="122">
        <v>-44525894.818782099</v>
      </c>
      <c r="F11" s="174"/>
      <c r="H11" s="163"/>
      <c r="I11" s="163"/>
    </row>
    <row r="12" spans="1:9" x14ac:dyDescent="0.35">
      <c r="A12" s="175" t="s">
        <v>190</v>
      </c>
      <c r="B12" s="122">
        <v>0</v>
      </c>
      <c r="C12" s="122">
        <v>0</v>
      </c>
      <c r="D12" s="122">
        <v>-1207152.9357142856</v>
      </c>
      <c r="E12" s="122">
        <v>-1880995</v>
      </c>
      <c r="F12" s="174">
        <v>-873355.43809523806</v>
      </c>
      <c r="H12" s="163"/>
      <c r="I12" s="163"/>
    </row>
    <row r="13" spans="1:9" x14ac:dyDescent="0.35">
      <c r="A13" s="175" t="s">
        <v>191</v>
      </c>
      <c r="B13" s="122">
        <v>0</v>
      </c>
      <c r="C13" s="122">
        <v>0</v>
      </c>
      <c r="D13" s="122">
        <v>0</v>
      </c>
      <c r="E13" s="122"/>
      <c r="F13" s="174"/>
      <c r="H13" s="163"/>
      <c r="I13" s="163"/>
    </row>
    <row r="14" spans="1:9" x14ac:dyDescent="0.35">
      <c r="A14" s="175" t="s">
        <v>192</v>
      </c>
      <c r="B14" s="122">
        <v>-6177.8761232877005</v>
      </c>
      <c r="C14" s="122">
        <v>-89607.860000000015</v>
      </c>
      <c r="D14" s="122">
        <v>-85169.579999999987</v>
      </c>
      <c r="E14" s="122">
        <v>-218711.90999999997</v>
      </c>
      <c r="F14" s="174">
        <v>-886995.5332551694</v>
      </c>
    </row>
    <row r="15" spans="1:9" x14ac:dyDescent="0.35">
      <c r="A15" s="175" t="s">
        <v>193</v>
      </c>
      <c r="B15" s="122">
        <v>0</v>
      </c>
      <c r="C15" s="122">
        <v>285673</v>
      </c>
      <c r="D15" s="122">
        <v>280404</v>
      </c>
      <c r="E15" s="122">
        <v>151615.00000000023</v>
      </c>
      <c r="F15" s="174">
        <v>451897.79999999987</v>
      </c>
    </row>
    <row r="16" spans="1:9" x14ac:dyDescent="0.35">
      <c r="A16" s="175" t="s">
        <v>194</v>
      </c>
      <c r="B16" s="122">
        <v>111815.41</v>
      </c>
      <c r="C16" s="122">
        <v>28644.66</v>
      </c>
      <c r="D16" s="122">
        <v>0</v>
      </c>
      <c r="E16" s="122">
        <v>-54640.000000000233</v>
      </c>
      <c r="F16" s="174">
        <v>-404003.41</v>
      </c>
    </row>
    <row r="17" spans="1:6" x14ac:dyDescent="0.35">
      <c r="A17" s="175" t="s">
        <v>195</v>
      </c>
      <c r="B17" s="122">
        <v>4006.44</v>
      </c>
      <c r="C17" s="122">
        <v>22272.14</v>
      </c>
      <c r="D17" s="122">
        <v>80858.91</v>
      </c>
      <c r="E17" s="122">
        <v>54270</v>
      </c>
      <c r="F17" s="174">
        <v>790820.93</v>
      </c>
    </row>
    <row r="18" spans="1:6" x14ac:dyDescent="0.35">
      <c r="A18" s="175" t="s">
        <v>196</v>
      </c>
      <c r="B18" s="122">
        <v>0</v>
      </c>
      <c r="C18" s="122">
        <v>0</v>
      </c>
      <c r="D18" s="122">
        <v>0</v>
      </c>
      <c r="E18" s="122"/>
      <c r="F18" s="174"/>
    </row>
    <row r="19" spans="1:6" x14ac:dyDescent="0.35">
      <c r="A19" s="175" t="s">
        <v>197</v>
      </c>
      <c r="B19" s="122">
        <v>0</v>
      </c>
      <c r="C19" s="122">
        <v>0</v>
      </c>
      <c r="D19" s="122">
        <v>0</v>
      </c>
      <c r="E19" s="122"/>
      <c r="F19" s="174"/>
    </row>
    <row r="20" spans="1:6" x14ac:dyDescent="0.35">
      <c r="A20" s="175" t="s">
        <v>198</v>
      </c>
      <c r="B20" s="122">
        <v>16303537.369999999</v>
      </c>
      <c r="C20" s="122">
        <v>15276907.689999999</v>
      </c>
      <c r="D20" s="122">
        <v>14897798.990000002</v>
      </c>
      <c r="E20" s="122">
        <v>14538409.470000001</v>
      </c>
      <c r="F20" s="174">
        <v>14320886.799999999</v>
      </c>
    </row>
    <row r="21" spans="1:6" x14ac:dyDescent="0.35">
      <c r="A21" s="175" t="s">
        <v>199</v>
      </c>
      <c r="B21" s="122">
        <v>-205892.04452364799</v>
      </c>
      <c r="C21" s="122">
        <v>1309826.3300000005</v>
      </c>
      <c r="D21" s="122">
        <v>1037860.54</v>
      </c>
      <c r="E21" s="122">
        <v>-71335.389999999898</v>
      </c>
      <c r="F21" s="174">
        <v>633142.98000000184</v>
      </c>
    </row>
    <row r="22" spans="1:6" x14ac:dyDescent="0.35">
      <c r="A22" s="175" t="s">
        <v>200</v>
      </c>
      <c r="B22" s="122">
        <v>0</v>
      </c>
      <c r="C22" s="122">
        <v>0</v>
      </c>
      <c r="D22" s="122">
        <v>0</v>
      </c>
      <c r="E22" s="122"/>
      <c r="F22" s="174"/>
    </row>
    <row r="23" spans="1:6" x14ac:dyDescent="0.35">
      <c r="A23" s="175" t="s">
        <v>201</v>
      </c>
      <c r="B23" s="122">
        <v>95732.02</v>
      </c>
      <c r="C23" s="122">
        <v>0</v>
      </c>
      <c r="D23" s="122">
        <v>0</v>
      </c>
      <c r="E23" s="122">
        <v>1370104.4400000002</v>
      </c>
      <c r="F23" s="174">
        <v>0</v>
      </c>
    </row>
    <row r="24" spans="1:6" x14ac:dyDescent="0.35">
      <c r="A24" s="175" t="s">
        <v>202</v>
      </c>
      <c r="B24" s="122">
        <v>429524</v>
      </c>
      <c r="C24" s="122">
        <v>278663.31000000006</v>
      </c>
      <c r="D24" s="122">
        <v>-1377918</v>
      </c>
      <c r="E24" s="122">
        <v>-170996</v>
      </c>
      <c r="F24" s="174">
        <v>-974174</v>
      </c>
    </row>
    <row r="25" spans="1:6" x14ac:dyDescent="0.35">
      <c r="A25" s="175" t="s">
        <v>203</v>
      </c>
      <c r="B25" s="122">
        <v>-70844.839999999269</v>
      </c>
      <c r="C25" s="122">
        <v>0</v>
      </c>
      <c r="D25" s="122">
        <v>0</v>
      </c>
      <c r="E25" s="122"/>
      <c r="F25" s="174"/>
    </row>
    <row r="26" spans="1:6" x14ac:dyDescent="0.35">
      <c r="A26" s="175" t="s">
        <v>204</v>
      </c>
      <c r="B26" s="122">
        <v>0</v>
      </c>
      <c r="C26" s="122">
        <v>0</v>
      </c>
      <c r="D26" s="122">
        <v>0</v>
      </c>
      <c r="E26" s="122"/>
      <c r="F26" s="174"/>
    </row>
    <row r="27" spans="1:6" x14ac:dyDescent="0.35">
      <c r="A27" s="175" t="s">
        <v>205</v>
      </c>
      <c r="B27" s="122">
        <v>68054.144101487836</v>
      </c>
      <c r="C27" s="122">
        <v>2564549</v>
      </c>
      <c r="D27" s="122">
        <v>1144984.9882143368</v>
      </c>
      <c r="E27" s="122">
        <v>-2402565.1812179028</v>
      </c>
      <c r="F27" s="174">
        <v>0</v>
      </c>
    </row>
    <row r="28" spans="1:6" x14ac:dyDescent="0.35">
      <c r="A28" s="175" t="s">
        <v>206</v>
      </c>
      <c r="B28" s="122">
        <v>-64002.79</v>
      </c>
      <c r="C28" s="122">
        <v>200000</v>
      </c>
      <c r="D28" s="122">
        <v>213585</v>
      </c>
      <c r="E28" s="122">
        <v>769394</v>
      </c>
      <c r="F28" s="174">
        <v>374171</v>
      </c>
    </row>
    <row r="29" spans="1:6" x14ac:dyDescent="0.35">
      <c r="A29" s="175" t="s">
        <v>207</v>
      </c>
      <c r="B29" s="122">
        <v>-3794266.5199999996</v>
      </c>
      <c r="C29" s="122">
        <v>-3781951.3099999996</v>
      </c>
      <c r="D29" s="122">
        <v>-3745691.8</v>
      </c>
      <c r="E29" s="122">
        <v>-3692904.8</v>
      </c>
      <c r="F29" s="174">
        <v>-3600218.8</v>
      </c>
    </row>
    <row r="30" spans="1:6" x14ac:dyDescent="0.35">
      <c r="A30" s="121" t="s">
        <v>208</v>
      </c>
      <c r="B30" s="122"/>
      <c r="C30" s="122"/>
      <c r="D30" s="122"/>
      <c r="E30" s="122"/>
      <c r="F30" s="174"/>
    </row>
    <row r="31" spans="1:6" x14ac:dyDescent="0.35">
      <c r="A31" s="175" t="s">
        <v>209</v>
      </c>
      <c r="B31" s="122">
        <f>-4282416.15924997-38551</f>
        <v>-4320967.1592499698</v>
      </c>
      <c r="C31" s="122">
        <f>-1943090.06280596-85539</f>
        <v>-2028629.06280596</v>
      </c>
      <c r="D31" s="122">
        <v>-16895039.761599723</v>
      </c>
      <c r="E31" s="122">
        <v>-8802443.7485039365</v>
      </c>
      <c r="F31" s="174">
        <v>-573072.71174414922</v>
      </c>
    </row>
    <row r="32" spans="1:6" x14ac:dyDescent="0.35">
      <c r="A32" s="175" t="s">
        <v>210</v>
      </c>
      <c r="B32" s="122">
        <v>-9380325.2824929208</v>
      </c>
      <c r="C32" s="122">
        <v>6363889.025928095</v>
      </c>
      <c r="D32" s="122">
        <v>-15816276.079016753</v>
      </c>
      <c r="E32" s="122">
        <v>-11193066.950396337</v>
      </c>
      <c r="F32" s="174">
        <v>5731285.8948950591</v>
      </c>
    </row>
    <row r="33" spans="1:6" x14ac:dyDescent="0.35">
      <c r="A33" s="175" t="s">
        <v>211</v>
      </c>
      <c r="B33" s="122">
        <v>-2860913.1700000004</v>
      </c>
      <c r="C33" s="122">
        <v>2554637.79</v>
      </c>
      <c r="D33" s="122">
        <v>-3722015.0320849316</v>
      </c>
      <c r="E33" s="122">
        <v>177454.70000000126</v>
      </c>
      <c r="F33" s="174">
        <v>3664954.8999999985</v>
      </c>
    </row>
    <row r="34" spans="1:6" x14ac:dyDescent="0.35">
      <c r="A34" s="175" t="s">
        <v>212</v>
      </c>
      <c r="B34" s="122">
        <v>260482.15378983354</v>
      </c>
      <c r="C34" s="122">
        <v>-3338684.8961152914</v>
      </c>
      <c r="D34" s="122">
        <v>21849670.260000005</v>
      </c>
      <c r="E34" s="122">
        <v>7936850.4499999955</v>
      </c>
      <c r="F34" s="174">
        <v>-8370281.1285999883</v>
      </c>
    </row>
    <row r="35" spans="1:6" x14ac:dyDescent="0.35">
      <c r="A35" s="175" t="s">
        <v>213</v>
      </c>
      <c r="B35" s="122">
        <v>607910.34587499965</v>
      </c>
      <c r="C35" s="122">
        <v>-564207.72154794727</v>
      </c>
      <c r="D35" s="122">
        <v>27433.970000000671</v>
      </c>
      <c r="E35" s="122">
        <v>-12762863.000000002</v>
      </c>
      <c r="F35" s="174">
        <v>-521955.94999999832</v>
      </c>
    </row>
    <row r="36" spans="1:6" x14ac:dyDescent="0.35">
      <c r="A36" s="176" t="s">
        <v>214</v>
      </c>
      <c r="B36" s="123">
        <f>SUM(B6:B35)</f>
        <v>304972.23077112332</v>
      </c>
      <c r="C36" s="123">
        <f>SUM(C6:C35)</f>
        <v>22650356.29365452</v>
      </c>
      <c r="D36" s="123">
        <f>SUM(D6:D35)</f>
        <v>-786725.12881929986</v>
      </c>
      <c r="E36" s="123">
        <f>SUM(E6:E35)</f>
        <v>-59007847.142595902</v>
      </c>
      <c r="F36" s="124">
        <f>SUM(F6:F35)</f>
        <v>9624475.8005966283</v>
      </c>
    </row>
    <row r="37" spans="1:6" x14ac:dyDescent="0.35">
      <c r="A37" s="175" t="s">
        <v>215</v>
      </c>
      <c r="B37" s="122">
        <v>-2099673.3565753424</v>
      </c>
      <c r="C37" s="122">
        <v>-1789197.93</v>
      </c>
      <c r="D37" s="122">
        <v>-1657221.9</v>
      </c>
      <c r="E37" s="122">
        <v>-2364091.67</v>
      </c>
      <c r="F37" s="174">
        <v>-3121845.49</v>
      </c>
    </row>
    <row r="38" spans="1:6" x14ac:dyDescent="0.35">
      <c r="A38" s="175" t="s">
        <v>216</v>
      </c>
      <c r="B38" s="122">
        <v>-733733</v>
      </c>
      <c r="C38" s="122">
        <v>-489622</v>
      </c>
      <c r="D38" s="122">
        <v>-773611.36</v>
      </c>
      <c r="E38" s="122">
        <v>-1044691</v>
      </c>
      <c r="F38" s="174">
        <v>-40792</v>
      </c>
    </row>
    <row r="39" spans="1:6" x14ac:dyDescent="0.35">
      <c r="A39" s="175" t="s">
        <v>217</v>
      </c>
      <c r="B39" s="122">
        <v>-602605.60281928291</v>
      </c>
      <c r="C39" s="122">
        <v>-318646.80819561763</v>
      </c>
      <c r="D39" s="122">
        <v>-351839.00138204725</v>
      </c>
      <c r="E39" s="122">
        <v>-446586.93630437052</v>
      </c>
      <c r="F39" s="174">
        <v>-498589.23215801612</v>
      </c>
    </row>
    <row r="40" spans="1:6" x14ac:dyDescent="0.35">
      <c r="A40" s="177" t="s">
        <v>176</v>
      </c>
      <c r="B40" s="178">
        <f>B4+SUM(B36:B39)</f>
        <v>-5748141.1167844702</v>
      </c>
      <c r="C40" s="178">
        <f>C4+SUM(C36:C39)</f>
        <v>19968923.555458903</v>
      </c>
      <c r="D40" s="178">
        <f>D4+SUM(D36:D39)</f>
        <v>-1778785.3902013469</v>
      </c>
      <c r="E40" s="178">
        <f>E4+SUM(E36:E39)</f>
        <v>-6738461.8183176219</v>
      </c>
      <c r="F40" s="179">
        <f>F4+SUM(F36:F39)</f>
        <v>827401.91628059372</v>
      </c>
    </row>
    <row r="41" spans="1:6" x14ac:dyDescent="0.35">
      <c r="A41" s="206" t="s">
        <v>218</v>
      </c>
      <c r="B41" s="207"/>
      <c r="C41" s="207"/>
      <c r="D41" s="207"/>
      <c r="E41" s="207"/>
      <c r="F41" s="208"/>
    </row>
    <row r="42" spans="1:6" x14ac:dyDescent="0.35">
      <c r="A42" s="175" t="s">
        <v>219</v>
      </c>
      <c r="B42" s="122">
        <v>-3710460.2700000042</v>
      </c>
      <c r="C42" s="122">
        <v>-2775018.0872727502</v>
      </c>
      <c r="D42" s="122">
        <f>-2328096.42960448-110.57</f>
        <v>-2328206.9996044799</v>
      </c>
      <c r="E42" s="122">
        <v>-4346069.1123646218</v>
      </c>
      <c r="F42" s="174">
        <v>-11406931.319017654</v>
      </c>
    </row>
    <row r="43" spans="1:6" x14ac:dyDescent="0.35">
      <c r="A43" s="175" t="s">
        <v>220</v>
      </c>
      <c r="B43" s="122">
        <v>0</v>
      </c>
      <c r="C43" s="122">
        <v>0</v>
      </c>
      <c r="D43" s="122">
        <v>-3164050.75</v>
      </c>
      <c r="E43" s="122"/>
      <c r="F43" s="174">
        <v>0</v>
      </c>
    </row>
    <row r="44" spans="1:6" x14ac:dyDescent="0.35">
      <c r="A44" s="175" t="s">
        <v>221</v>
      </c>
      <c r="B44" s="122">
        <v>0</v>
      </c>
      <c r="C44" s="122">
        <v>-285438.04272727272</v>
      </c>
      <c r="D44" s="122">
        <v>-124275.01363636405</v>
      </c>
      <c r="E44" s="122">
        <v>-154389.82909090893</v>
      </c>
      <c r="F44" s="174">
        <v>-597590.90181818174</v>
      </c>
    </row>
    <row r="45" spans="1:6" x14ac:dyDescent="0.35">
      <c r="A45" s="175" t="s">
        <v>236</v>
      </c>
      <c r="B45" s="122">
        <v>0</v>
      </c>
      <c r="C45" s="122">
        <v>0</v>
      </c>
      <c r="D45" s="122">
        <v>0</v>
      </c>
      <c r="E45" s="122">
        <v>0</v>
      </c>
      <c r="F45" s="174">
        <v>-2529566</v>
      </c>
    </row>
    <row r="46" spans="1:6" x14ac:dyDescent="0.35">
      <c r="A46" s="175" t="s">
        <v>222</v>
      </c>
      <c r="B46" s="122">
        <v>160984.13</v>
      </c>
      <c r="C46" s="122">
        <v>31089.589999999851</v>
      </c>
      <c r="D46" s="122">
        <v>492997.5</v>
      </c>
      <c r="E46" s="122">
        <v>915736.01</v>
      </c>
      <c r="F46" s="174">
        <v>14000</v>
      </c>
    </row>
    <row r="47" spans="1:6" x14ac:dyDescent="0.35">
      <c r="A47" s="175" t="s">
        <v>223</v>
      </c>
      <c r="B47" s="122">
        <v>0</v>
      </c>
      <c r="C47" s="122">
        <v>0</v>
      </c>
      <c r="D47" s="122">
        <v>0</v>
      </c>
      <c r="E47" s="122">
        <v>912179.25</v>
      </c>
      <c r="F47" s="174">
        <v>0</v>
      </c>
    </row>
    <row r="48" spans="1:6" x14ac:dyDescent="0.35">
      <c r="A48" s="175" t="s">
        <v>224</v>
      </c>
      <c r="B48" s="122"/>
      <c r="C48" s="122">
        <v>0</v>
      </c>
      <c r="D48" s="122">
        <v>0</v>
      </c>
      <c r="E48" s="122"/>
      <c r="F48" s="174">
        <v>0</v>
      </c>
    </row>
    <row r="49" spans="1:6" x14ac:dyDescent="0.35">
      <c r="A49" s="175" t="s">
        <v>225</v>
      </c>
      <c r="B49" s="122">
        <v>0</v>
      </c>
      <c r="C49" s="122">
        <v>0</v>
      </c>
      <c r="D49" s="122">
        <v>0</v>
      </c>
      <c r="E49" s="122">
        <v>70253078</v>
      </c>
      <c r="F49" s="180">
        <v>0</v>
      </c>
    </row>
    <row r="50" spans="1:6" x14ac:dyDescent="0.35">
      <c r="A50" s="175" t="s">
        <v>226</v>
      </c>
      <c r="B50" s="122">
        <v>0</v>
      </c>
      <c r="C50" s="122">
        <v>0</v>
      </c>
      <c r="D50" s="122">
        <v>0</v>
      </c>
      <c r="E50" s="122"/>
      <c r="F50" s="174">
        <v>0</v>
      </c>
    </row>
    <row r="51" spans="1:6" x14ac:dyDescent="0.35">
      <c r="A51" s="175" t="s">
        <v>227</v>
      </c>
      <c r="B51" s="122">
        <v>-23033.68</v>
      </c>
      <c r="C51" s="122">
        <v>0</v>
      </c>
      <c r="D51" s="122">
        <v>0</v>
      </c>
      <c r="E51" s="122"/>
      <c r="F51" s="174"/>
    </row>
    <row r="52" spans="1:6" x14ac:dyDescent="0.35">
      <c r="A52" s="175" t="s">
        <v>228</v>
      </c>
      <c r="B52" s="122">
        <v>0</v>
      </c>
      <c r="C52" s="122">
        <v>0</v>
      </c>
      <c r="D52" s="122">
        <v>2862617</v>
      </c>
      <c r="E52" s="122">
        <v>2373151</v>
      </c>
      <c r="F52" s="174">
        <v>0</v>
      </c>
    </row>
    <row r="53" spans="1:6" x14ac:dyDescent="0.35">
      <c r="A53" s="175" t="s">
        <v>229</v>
      </c>
      <c r="B53" s="122">
        <v>16186150.540000001</v>
      </c>
      <c r="C53" s="122">
        <v>7041341</v>
      </c>
      <c r="D53" s="122">
        <v>0</v>
      </c>
      <c r="E53" s="122">
        <v>0</v>
      </c>
      <c r="F53" s="174">
        <v>7752606</v>
      </c>
    </row>
    <row r="54" spans="1:6" x14ac:dyDescent="0.35">
      <c r="A54" s="175" t="s">
        <v>230</v>
      </c>
      <c r="B54" s="122">
        <v>6177.8761232877005</v>
      </c>
      <c r="C54" s="122">
        <v>89607.860000000015</v>
      </c>
      <c r="D54" s="122">
        <v>85169.579999999987</v>
      </c>
      <c r="E54" s="122">
        <v>218701.90999999997</v>
      </c>
      <c r="F54" s="174">
        <v>886988.5332551694</v>
      </c>
    </row>
    <row r="55" spans="1:6" x14ac:dyDescent="0.35">
      <c r="A55" s="175" t="s">
        <v>231</v>
      </c>
      <c r="B55" s="122"/>
      <c r="C55" s="122">
        <v>0</v>
      </c>
      <c r="D55" s="122">
        <v>0</v>
      </c>
      <c r="E55" s="122"/>
      <c r="F55" s="174"/>
    </row>
    <row r="56" spans="1:6" x14ac:dyDescent="0.35">
      <c r="A56" s="177" t="s">
        <v>167</v>
      </c>
      <c r="B56" s="178">
        <f>SUM(B42:B55)</f>
        <v>12619818.596123284</v>
      </c>
      <c r="C56" s="178">
        <f>SUM(C42:C55)</f>
        <v>4101582.3199999765</v>
      </c>
      <c r="D56" s="178">
        <f>SUM(D42:D55)</f>
        <v>-2175748.6832408439</v>
      </c>
      <c r="E56" s="178">
        <f>SUM(E42:E55)</f>
        <v>70172387.228544459</v>
      </c>
      <c r="F56" s="179">
        <f>SUM(F42:F55)</f>
        <v>-5880493.6875806674</v>
      </c>
    </row>
    <row r="57" spans="1:6" x14ac:dyDescent="0.35">
      <c r="A57" s="206" t="s">
        <v>232</v>
      </c>
      <c r="B57" s="207"/>
      <c r="C57" s="207"/>
      <c r="D57" s="207"/>
      <c r="E57" s="207"/>
      <c r="F57" s="208"/>
    </row>
    <row r="58" spans="1:6" x14ac:dyDescent="0.35">
      <c r="A58" s="175" t="s">
        <v>233</v>
      </c>
      <c r="B58" s="122">
        <v>-5918729.3400000036</v>
      </c>
      <c r="C58" s="122">
        <v>-13215044.470000003</v>
      </c>
      <c r="D58" s="122">
        <v>3497754.843974987</v>
      </c>
      <c r="E58" s="122">
        <v>3505104.5485039167</v>
      </c>
      <c r="F58" s="174">
        <v>-6148358.4971698355</v>
      </c>
    </row>
    <row r="59" spans="1:6" x14ac:dyDescent="0.35">
      <c r="A59" s="175" t="s">
        <v>234</v>
      </c>
      <c r="B59" s="122">
        <v>2168</v>
      </c>
      <c r="C59" s="122">
        <v>0</v>
      </c>
      <c r="D59" s="122">
        <v>-9739.1023752689307</v>
      </c>
      <c r="E59" s="122">
        <v>0</v>
      </c>
      <c r="F59" s="174">
        <v>0</v>
      </c>
    </row>
    <row r="60" spans="1:6" x14ac:dyDescent="0.35">
      <c r="A60" s="175" t="s">
        <v>235</v>
      </c>
      <c r="B60" s="122">
        <v>-1005488</v>
      </c>
      <c r="C60" s="122">
        <v>0</v>
      </c>
      <c r="D60" s="122">
        <v>-2641220.96</v>
      </c>
      <c r="E60" s="122">
        <v>-10666862.290000001</v>
      </c>
      <c r="F60" s="174">
        <v>-28951452.109999999</v>
      </c>
    </row>
    <row r="61" spans="1:6" x14ac:dyDescent="0.35">
      <c r="A61" s="177" t="s">
        <v>168</v>
      </c>
      <c r="B61" s="178">
        <f>SUM(B58:B60)</f>
        <v>-6922049.3400000036</v>
      </c>
      <c r="C61" s="178">
        <f>SUM(C58:C60)</f>
        <v>-13215044.470000003</v>
      </c>
      <c r="D61" s="178">
        <f>SUM(D58:D60)</f>
        <v>846794.78159971815</v>
      </c>
      <c r="E61" s="178">
        <f>SUM(E58:E60)</f>
        <v>-7161757.7414960843</v>
      </c>
      <c r="F61" s="179">
        <f>SUM(F58:F60)</f>
        <v>-35099810.607169837</v>
      </c>
    </row>
    <row r="62" spans="1:6" ht="29" x14ac:dyDescent="0.35">
      <c r="A62" s="121" t="s">
        <v>169</v>
      </c>
      <c r="B62" s="181">
        <f>B61+B56+B40</f>
        <v>-50371.860661190003</v>
      </c>
      <c r="C62" s="181">
        <f>C61+C56+C40</f>
        <v>10855461.405458877</v>
      </c>
      <c r="D62" s="181">
        <f>D61+D56+D40</f>
        <v>-3107739.2918424727</v>
      </c>
      <c r="E62" s="181">
        <f>E61+E56+E40</f>
        <v>56272167.668730751</v>
      </c>
      <c r="F62" s="182">
        <f>F61+F56+F40</f>
        <v>-40152902.378469914</v>
      </c>
    </row>
    <row r="63" spans="1:6" x14ac:dyDescent="0.35">
      <c r="A63" s="183" t="s">
        <v>170</v>
      </c>
      <c r="B63" s="181"/>
      <c r="C63" s="181">
        <v>0</v>
      </c>
      <c r="D63" s="181">
        <v>0</v>
      </c>
      <c r="E63" s="181">
        <v>0</v>
      </c>
      <c r="F63" s="182">
        <v>0</v>
      </c>
    </row>
    <row r="64" spans="1:6" x14ac:dyDescent="0.35">
      <c r="A64" s="121" t="s">
        <v>171</v>
      </c>
      <c r="B64" s="123">
        <f>B62+B63</f>
        <v>-50371.860661190003</v>
      </c>
      <c r="C64" s="123">
        <f>C62+C63</f>
        <v>10855461.405458877</v>
      </c>
      <c r="D64" s="123">
        <f>D62+D63</f>
        <v>-3107739.2918424727</v>
      </c>
      <c r="E64" s="123">
        <f>E62+E63</f>
        <v>56272167.668730751</v>
      </c>
      <c r="F64" s="124">
        <f>F62+F63</f>
        <v>-40152902.378469914</v>
      </c>
    </row>
    <row r="65" spans="1:6" x14ac:dyDescent="0.35">
      <c r="A65" s="121" t="s">
        <v>172</v>
      </c>
      <c r="B65" s="125">
        <v>9899542</v>
      </c>
      <c r="C65" s="125">
        <v>9849170.1393387727</v>
      </c>
      <c r="D65" s="125">
        <v>20704632</v>
      </c>
      <c r="E65" s="125">
        <f>D66</f>
        <v>17596892.708157528</v>
      </c>
      <c r="F65" s="126">
        <f>E66</f>
        <v>73869060.376888275</v>
      </c>
    </row>
    <row r="66" spans="1:6" x14ac:dyDescent="0.35">
      <c r="A66" s="121" t="s">
        <v>173</v>
      </c>
      <c r="B66" s="125">
        <f t="shared" ref="B66:E66" si="0">B62+B65</f>
        <v>9849170.13933881</v>
      </c>
      <c r="C66" s="125">
        <f t="shared" si="0"/>
        <v>20704631.544797651</v>
      </c>
      <c r="D66" s="125">
        <f t="shared" si="0"/>
        <v>17596892.708157528</v>
      </c>
      <c r="E66" s="125">
        <f t="shared" si="0"/>
        <v>73869060.376888275</v>
      </c>
      <c r="F66" s="126">
        <f t="shared" ref="F66" si="1">F62+F65</f>
        <v>33716157.998418361</v>
      </c>
    </row>
    <row r="67" spans="1:6" ht="15" thickBot="1" x14ac:dyDescent="0.4">
      <c r="F67" s="127"/>
    </row>
    <row r="68" spans="1:6" x14ac:dyDescent="0.35">
      <c r="A68" s="128"/>
      <c r="B68" s="164"/>
      <c r="C68" s="164"/>
      <c r="D68" s="164"/>
      <c r="E68" s="164"/>
      <c r="F68" s="164"/>
    </row>
    <row r="69" spans="1:6" x14ac:dyDescent="0.35">
      <c r="A69" s="128"/>
      <c r="B69" s="164">
        <f>B66-'1.Pozitia financiara'!C16</f>
        <v>-0.35755819082260132</v>
      </c>
      <c r="C69" s="164">
        <f>C66-'1.Pozitia financiara'!D16</f>
        <v>-0.27897534519433975</v>
      </c>
      <c r="D69" s="164">
        <f>D66-'1.Pozitia financiara'!E16</f>
        <v>-0.29096447303891182</v>
      </c>
      <c r="E69" s="164">
        <f>E66-'1.Pozitia financiara'!F16</f>
        <v>-0.62311172485351563</v>
      </c>
      <c r="F69" s="164">
        <f>F66-'1.Pozitia financiara'!G16</f>
        <v>-1.5816390514373779E-3</v>
      </c>
    </row>
    <row r="70" spans="1:6" x14ac:dyDescent="0.35">
      <c r="B70" s="41">
        <f>B4-'2.Sit.Rezultatului Global'!C19</f>
        <v>-2.9802322387695313E-7</v>
      </c>
      <c r="C70" s="41">
        <f>C4-'2.Sit.Rezultatului Global'!D19</f>
        <v>-0.36532150395214558</v>
      </c>
      <c r="D70" s="41">
        <f>D4-'2.Sit.Rezultatului Global'!E19</f>
        <v>-0.11178737226873636</v>
      </c>
      <c r="E70" s="41">
        <f>E4-'2.Sit.Rezultatului Global'!F19</f>
        <v>0.11688701808452606</v>
      </c>
      <c r="F70" s="41">
        <f>F4-'2.Sit.Rezultatului Global'!G19</f>
        <v>-0.16215801797807217</v>
      </c>
    </row>
    <row r="72" spans="1:6" x14ac:dyDescent="0.35">
      <c r="B72" s="122"/>
      <c r="C72" s="122"/>
      <c r="D72" s="122"/>
      <c r="E72" s="122"/>
      <c r="F72" s="122"/>
    </row>
    <row r="73" spans="1:6" x14ac:dyDescent="0.35">
      <c r="B73" s="129"/>
      <c r="C73" s="129"/>
      <c r="D73" s="129"/>
      <c r="E73" s="129"/>
      <c r="F73" s="129"/>
    </row>
    <row r="76" spans="1:6" x14ac:dyDescent="0.35">
      <c r="B76" s="130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37"/>
  <sheetViews>
    <sheetView showGridLines="0" zoomScaleNormal="100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K25" sqref="K25"/>
    </sheetView>
  </sheetViews>
  <sheetFormatPr defaultColWidth="9.08984375" defaultRowHeight="14.5" x14ac:dyDescent="0.35"/>
  <cols>
    <col min="1" max="1" width="5.453125" style="1" customWidth="1"/>
    <col min="2" max="2" width="38.6328125" style="1" bestFit="1" customWidth="1"/>
    <col min="3" max="3" width="41.36328125" style="1" customWidth="1"/>
    <col min="4" max="4" width="12.08984375" style="1" bestFit="1" customWidth="1"/>
    <col min="5" max="6" width="12.54296875" style="1" bestFit="1" customWidth="1"/>
    <col min="7" max="7" width="12" style="1" bestFit="1" customWidth="1"/>
    <col min="8" max="8" width="12.453125" style="1" bestFit="1" customWidth="1"/>
    <col min="9" max="11" width="9.08984375" style="1"/>
    <col min="12" max="12" width="13.7265625" style="1" bestFit="1" customWidth="1"/>
    <col min="13" max="13" width="14" style="1" bestFit="1" customWidth="1"/>
    <col min="14" max="14" width="13.1796875" style="1" bestFit="1" customWidth="1"/>
    <col min="15" max="15" width="9.36328125" style="1" bestFit="1" customWidth="1"/>
    <col min="16" max="16" width="9.453125" style="1" bestFit="1" customWidth="1"/>
    <col min="17" max="17" width="8.81640625" style="1" bestFit="1" customWidth="1"/>
    <col min="18" max="18" width="9.1796875" style="1" bestFit="1" customWidth="1"/>
    <col min="19" max="16384" width="9.08984375" style="1"/>
  </cols>
  <sheetData>
    <row r="2" spans="1:22" ht="15" thickBot="1" x14ac:dyDescent="0.4"/>
    <row r="3" spans="1:22" ht="18.75" customHeight="1" thickBot="1" x14ac:dyDescent="0.4">
      <c r="B3" s="198" t="s">
        <v>0</v>
      </c>
      <c r="C3" s="198" t="s">
        <v>12</v>
      </c>
      <c r="D3" s="199">
        <v>2019</v>
      </c>
      <c r="E3" s="199">
        <f>D3+1</f>
        <v>2020</v>
      </c>
      <c r="F3" s="199">
        <f t="shared" ref="F3:H3" si="0">E3+1</f>
        <v>2021</v>
      </c>
      <c r="G3" s="199">
        <f t="shared" si="0"/>
        <v>2022</v>
      </c>
      <c r="H3" s="199">
        <f t="shared" si="0"/>
        <v>2023</v>
      </c>
    </row>
    <row r="4" spans="1:22" x14ac:dyDescent="0.35">
      <c r="A4" s="5"/>
      <c r="B4" s="1" t="s">
        <v>33</v>
      </c>
      <c r="C4" s="5" t="s">
        <v>39</v>
      </c>
      <c r="D4" s="5">
        <f>'EBIT-EBITDA'!C7</f>
        <v>-243135.03158532828</v>
      </c>
      <c r="E4" s="5">
        <f>'EBIT-EBITDA'!D7</f>
        <v>1972882.2953215039</v>
      </c>
      <c r="F4" s="5">
        <f>'EBIT-EBITDA'!E7</f>
        <v>4376486.4117873721</v>
      </c>
      <c r="G4" s="5">
        <f>'EBIT-EBITDA'!F7</f>
        <v>59555688.483695634</v>
      </c>
      <c r="H4" s="200">
        <f>'EBIT-EBITDA'!G7</f>
        <v>-1771010.5099999998</v>
      </c>
      <c r="L4" s="167"/>
      <c r="M4" s="167"/>
      <c r="N4" s="167"/>
      <c r="O4" s="115"/>
      <c r="P4" s="115"/>
      <c r="Q4" s="115"/>
      <c r="R4" s="115"/>
      <c r="S4" s="115"/>
      <c r="T4" s="115"/>
      <c r="U4" s="115"/>
      <c r="V4" s="115"/>
    </row>
    <row r="5" spans="1:22" x14ac:dyDescent="0.35">
      <c r="A5" s="5"/>
      <c r="B5" s="1" t="s">
        <v>11</v>
      </c>
      <c r="C5" s="5" t="s">
        <v>39</v>
      </c>
      <c r="D5" s="5">
        <f>'EBIT-EBITDA'!C10</f>
        <v>12097143.408414671</v>
      </c>
      <c r="E5" s="5">
        <f>'EBIT-EBITDA'!D10</f>
        <v>13462961.705321504</v>
      </c>
      <c r="F5" s="5">
        <f>'EBIT-EBITDA'!E10</f>
        <v>15528593.601787373</v>
      </c>
      <c r="G5" s="5">
        <f>'EBIT-EBITDA'!F10</f>
        <v>70401193.153695643</v>
      </c>
      <c r="H5" s="200">
        <f>'EBIT-EBITDA'!G10</f>
        <v>8949657.4899999984</v>
      </c>
      <c r="L5" s="167"/>
      <c r="M5" s="167"/>
      <c r="N5" s="167"/>
      <c r="O5" s="166"/>
      <c r="P5" s="170"/>
      <c r="Q5" s="170"/>
      <c r="R5" s="170"/>
      <c r="S5" s="115"/>
      <c r="T5" s="115"/>
      <c r="U5" s="115"/>
      <c r="V5" s="115"/>
    </row>
    <row r="6" spans="1:22" x14ac:dyDescent="0.35">
      <c r="A6" s="5"/>
      <c r="B6" s="30" t="s">
        <v>16</v>
      </c>
      <c r="C6" s="5" t="s">
        <v>118</v>
      </c>
      <c r="D6" s="5">
        <f>'2.Sit.Rezultatului Global'!C55</f>
        <v>248707440.25413373</v>
      </c>
      <c r="E6" s="5">
        <f>'2.Sit.Rezultatului Global'!D55</f>
        <v>257465322.85874569</v>
      </c>
      <c r="F6" s="5">
        <f>'2.Sit.Rezultatului Global'!E55</f>
        <v>341864785.33173025</v>
      </c>
      <c r="G6" s="5">
        <f>'2.Sit.Rezultatului Global'!F55</f>
        <v>382579913.88069999</v>
      </c>
      <c r="H6" s="200">
        <f>'2.Sit.Rezultatului Global'!G55</f>
        <v>305187373.14759028</v>
      </c>
      <c r="O6" s="166"/>
      <c r="P6" s="170"/>
      <c r="Q6" s="170"/>
      <c r="R6" s="170"/>
      <c r="S6" s="115"/>
      <c r="T6" s="115"/>
      <c r="U6" s="115"/>
      <c r="V6" s="115"/>
    </row>
    <row r="7" spans="1:22" x14ac:dyDescent="0.35">
      <c r="A7" s="5"/>
      <c r="B7" s="1" t="s">
        <v>13</v>
      </c>
      <c r="C7" s="5" t="s">
        <v>27</v>
      </c>
      <c r="D7" s="17">
        <f>D5/D6</f>
        <v>4.8640054338758794E-2</v>
      </c>
      <c r="E7" s="17">
        <f t="shared" ref="E7:F7" si="1">E5/E6</f>
        <v>5.2290388297097957E-2</v>
      </c>
      <c r="F7" s="17">
        <f t="shared" si="1"/>
        <v>4.5423203172912714E-2</v>
      </c>
      <c r="G7" s="17">
        <f t="shared" ref="G7:H7" si="2">G5/G6</f>
        <v>0.18401696116134542</v>
      </c>
      <c r="H7" s="210">
        <f t="shared" si="2"/>
        <v>2.93251237680528E-2</v>
      </c>
      <c r="O7" s="166"/>
      <c r="P7" s="170"/>
      <c r="Q7" s="170"/>
      <c r="R7" s="170"/>
      <c r="S7" s="115"/>
      <c r="T7" s="115"/>
      <c r="U7" s="115"/>
      <c r="V7" s="115"/>
    </row>
    <row r="8" spans="1:22" x14ac:dyDescent="0.35">
      <c r="B8" s="1" t="s">
        <v>14</v>
      </c>
      <c r="C8" s="30" t="s">
        <v>28</v>
      </c>
      <c r="D8" s="17">
        <f>D5/'1.Pozitia financiara'!C26</f>
        <v>8.6679884225978776E-2</v>
      </c>
      <c r="E8" s="17">
        <f>E5/'1.Pozitia financiara'!D26</f>
        <v>9.6362512048573448E-2</v>
      </c>
      <c r="F8" s="17">
        <f>F5/'1.Pozitia financiara'!E26</f>
        <v>0.11178070144170831</v>
      </c>
      <c r="G8" s="17">
        <f>G5/'1.Pozitia financiara'!F26</f>
        <v>0.4149050507574723</v>
      </c>
      <c r="H8" s="210">
        <f>H5/'1.Pozitia financiara'!G26</f>
        <v>5.8861975250400524E-2</v>
      </c>
      <c r="O8" s="166"/>
      <c r="P8" s="170"/>
      <c r="Q8" s="170"/>
      <c r="R8" s="170"/>
      <c r="S8" s="115"/>
      <c r="T8" s="115"/>
      <c r="U8" s="115"/>
      <c r="V8" s="115"/>
    </row>
    <row r="9" spans="1:22" x14ac:dyDescent="0.35">
      <c r="B9" s="1" t="s">
        <v>15</v>
      </c>
      <c r="C9" s="30" t="s">
        <v>29</v>
      </c>
      <c r="D9" s="17">
        <f>'2.Sit.Rezultatului Global'!C17/D6</f>
        <v>-9.4199368775085574E-3</v>
      </c>
      <c r="E9" s="17">
        <f>'2.Sit.Rezultatului Global'!D17/E6</f>
        <v>7.1343341806958402E-4</v>
      </c>
      <c r="F9" s="17">
        <f>'2.Sit.Rezultatului Global'!E17/F6</f>
        <v>7.9542106366665404E-3</v>
      </c>
      <c r="G9" s="17">
        <f>'2.Sit.Rezultatului Global'!F17/G6</f>
        <v>0.1494892824706153</v>
      </c>
      <c r="H9" s="210">
        <f>'2.Sit.Rezultatului Global'!G17/H6</f>
        <v>-1.603230156456633E-2</v>
      </c>
      <c r="O9" s="166"/>
      <c r="P9" s="170"/>
      <c r="Q9" s="170"/>
      <c r="R9" s="170"/>
      <c r="S9" s="115"/>
      <c r="T9" s="115"/>
      <c r="U9" s="115"/>
      <c r="V9" s="115"/>
    </row>
    <row r="10" spans="1:22" x14ac:dyDescent="0.35">
      <c r="B10" s="1" t="s">
        <v>17</v>
      </c>
      <c r="C10" s="30" t="s">
        <v>30</v>
      </c>
      <c r="D10" s="18">
        <f>'1.Pozitia financiara'!C18/'1.Pozitia financiara'!C35</f>
        <v>0.96908389569505138</v>
      </c>
      <c r="E10" s="18">
        <f>'1.Pozitia financiara'!D18/'1.Pozitia financiara'!D35</f>
        <v>1.0399764471372528</v>
      </c>
      <c r="F10" s="18">
        <f>'1.Pozitia financiara'!E18/'1.Pozitia financiara'!E35</f>
        <v>1.0296791115725874</v>
      </c>
      <c r="G10" s="18">
        <f>'1.Pozitia financiara'!F18/'1.Pozitia financiara'!F35</f>
        <v>1.4179945233256319</v>
      </c>
      <c r="H10" s="211">
        <f>'1.Pozitia financiara'!G18/'1.Pozitia financiara'!G35</f>
        <v>1.3835630589700565</v>
      </c>
      <c r="O10" s="166"/>
      <c r="P10" s="170"/>
      <c r="Q10" s="170"/>
      <c r="R10" s="170"/>
      <c r="S10" s="115"/>
      <c r="T10" s="115"/>
      <c r="U10" s="115"/>
      <c r="V10" s="115"/>
    </row>
    <row r="11" spans="1:22" x14ac:dyDescent="0.35">
      <c r="B11" s="1" t="s">
        <v>18</v>
      </c>
      <c r="C11" s="30" t="s">
        <v>119</v>
      </c>
      <c r="D11" s="18">
        <f>('1.Pozitia financiara'!C18-'1.Pozitia financiara'!C12)/'1.Pozitia financiara'!C35</f>
        <v>0.52612064858949237</v>
      </c>
      <c r="E11" s="18">
        <f>('1.Pozitia financiara'!D18-'1.Pozitia financiara'!D12)/'1.Pozitia financiara'!D35</f>
        <v>0.62173458046736851</v>
      </c>
      <c r="F11" s="18">
        <f>('1.Pozitia financiara'!E18-'1.Pozitia financiara'!E12)/'1.Pozitia financiara'!E35</f>
        <v>0.60998153895799923</v>
      </c>
      <c r="G11" s="18">
        <f>('1.Pozitia financiara'!F18-'1.Pozitia financiara'!F12)/'1.Pozitia financiara'!F35</f>
        <v>0.97210001106620991</v>
      </c>
      <c r="H11" s="211">
        <f>('1.Pozitia financiara'!G18-'1.Pozitia financiara'!G12)/'1.Pozitia financiara'!G35</f>
        <v>0.85996699261255716</v>
      </c>
      <c r="O11" s="166"/>
      <c r="P11" s="170"/>
      <c r="Q11" s="170"/>
      <c r="R11" s="170"/>
      <c r="S11" s="115"/>
      <c r="T11" s="115"/>
      <c r="U11" s="115"/>
      <c r="V11" s="115"/>
    </row>
    <row r="12" spans="1:22" x14ac:dyDescent="0.35">
      <c r="B12" s="1" t="s">
        <v>19</v>
      </c>
      <c r="C12" s="30" t="s">
        <v>31</v>
      </c>
      <c r="D12" s="19">
        <f>'1.Pozitia financiara'!C31/'1.Pozitia financiara'!C26</f>
        <v>0.39862651691331841</v>
      </c>
      <c r="E12" s="19">
        <f>'1.Pozitia financiara'!D31/'1.Pozitia financiara'!D26</f>
        <v>0.32865468495068628</v>
      </c>
      <c r="F12" s="19">
        <f>'1.Pozitia financiara'!E31/'1.Pozitia financiara'!E26</f>
        <v>0.23258911608288899</v>
      </c>
      <c r="G12" s="19">
        <f>'1.Pozitia financiara'!F31/'1.Pozitia financiara'!F26</f>
        <v>0.15699548912147707</v>
      </c>
      <c r="H12" s="212">
        <f>'1.Pozitia financiara'!G31/'1.Pozitia financiara'!G26</f>
        <v>0.17412760122996376</v>
      </c>
      <c r="O12" s="166"/>
      <c r="P12" s="170"/>
      <c r="Q12" s="170"/>
      <c r="R12" s="170"/>
      <c r="S12" s="115"/>
      <c r="T12" s="115"/>
      <c r="U12" s="115"/>
      <c r="V12" s="115"/>
    </row>
    <row r="13" spans="1:22" x14ac:dyDescent="0.35">
      <c r="B13" s="1" t="s">
        <v>20</v>
      </c>
      <c r="C13" s="30" t="s">
        <v>120</v>
      </c>
      <c r="D13" s="19">
        <f>'1.Pozitia financiara'!C36/'1.Pozitia financiara'!C37</f>
        <v>0.53327647017969393</v>
      </c>
      <c r="E13" s="19">
        <f>'1.Pozitia financiara'!D36/'1.Pozitia financiara'!D37</f>
        <v>0.50016638029602767</v>
      </c>
      <c r="F13" s="19">
        <f>'1.Pozitia financiara'!E36/'1.Pozitia financiara'!E37</f>
        <v>0.53971049111202019</v>
      </c>
      <c r="G13" s="19">
        <f>'1.Pozitia financiara'!F36/'1.Pozitia financiara'!F37</f>
        <v>0.50690332579091435</v>
      </c>
      <c r="H13" s="212">
        <f>'1.Pozitia financiara'!G36/'1.Pozitia financiara'!G37</f>
        <v>0.48031455343328772</v>
      </c>
      <c r="O13" s="166"/>
      <c r="P13" s="170"/>
      <c r="Q13" s="170"/>
      <c r="R13" s="170"/>
      <c r="S13" s="115"/>
      <c r="T13" s="115"/>
      <c r="U13" s="115"/>
      <c r="V13" s="115"/>
    </row>
    <row r="14" spans="1:22" x14ac:dyDescent="0.35">
      <c r="B14" s="1" t="s">
        <v>21</v>
      </c>
      <c r="C14" s="30" t="s">
        <v>32</v>
      </c>
      <c r="D14" s="18">
        <f>'EBIT-EBITDA'!C7/'EBIT-EBITDA'!C6</f>
        <v>-0.11579659799174286</v>
      </c>
      <c r="E14" s="18">
        <f>'EBIT-EBITDA'!D7/'EBIT-EBITDA'!D6</f>
        <v>1.102662965478338</v>
      </c>
      <c r="F14" s="18">
        <f>'EBIT-EBITDA'!E7/'EBIT-EBITDA'!E6</f>
        <v>2.6408572151909002</v>
      </c>
      <c r="G14" s="18">
        <f>'EBIT-EBITDA'!F7/'EBIT-EBITDA'!F6</f>
        <v>25.191784751602139</v>
      </c>
      <c r="H14" s="211">
        <f>'EBIT-EBITDA'!G7/'EBIT-EBITDA'!G6</f>
        <v>-0.56729601630604709</v>
      </c>
      <c r="O14" s="166"/>
      <c r="P14" s="170"/>
      <c r="Q14" s="170"/>
      <c r="R14" s="170"/>
      <c r="S14" s="115"/>
      <c r="T14" s="115"/>
      <c r="U14" s="115"/>
      <c r="V14" s="115"/>
    </row>
    <row r="15" spans="1:22" x14ac:dyDescent="0.35">
      <c r="B15" s="1" t="s">
        <v>22</v>
      </c>
      <c r="C15" s="30" t="s">
        <v>121</v>
      </c>
      <c r="D15" s="53">
        <f>(29728000+'1.Pozitia financiara'!C13)/2/D6*360</f>
        <v>46.135766484353425</v>
      </c>
      <c r="E15" s="53">
        <f>('1.Pozitia financiara'!C13+'1.Pozitia financiara'!D13)/2/E6*360</f>
        <v>49.077406610634931</v>
      </c>
      <c r="F15" s="53">
        <f>('1.Pozitia financiara'!D13+'1.Pozitia financiara'!E13)/2/F6*360</f>
        <v>46.984143106158413</v>
      </c>
      <c r="G15" s="53">
        <f>('1.Pozitia financiara'!E13+'1.Pozitia financiara'!F13)/2/G6*360</f>
        <v>53.651736488684875</v>
      </c>
      <c r="H15" s="213">
        <f>('1.Pozitia financiara'!F13+'1.Pozitia financiara'!G13)/2/H6*360</f>
        <v>71.611768844154639</v>
      </c>
      <c r="O15" s="166"/>
      <c r="P15" s="170"/>
      <c r="Q15" s="170"/>
      <c r="R15" s="170"/>
      <c r="S15" s="115"/>
      <c r="T15" s="115"/>
      <c r="U15" s="115"/>
      <c r="V15" s="115"/>
    </row>
    <row r="16" spans="1:22" x14ac:dyDescent="0.35">
      <c r="B16" s="1" t="s">
        <v>23</v>
      </c>
      <c r="C16" s="30" t="s">
        <v>122</v>
      </c>
      <c r="D16" s="53">
        <f>(33351000+'1.Pozitia financiara'!C32)/2/D6*360</f>
        <v>49.636707599518203</v>
      </c>
      <c r="E16" s="53">
        <f>('1.Pozitia financiara'!C32+'1.Pozitia financiara'!D32)/2/E6*360</f>
        <v>47.965051212624161</v>
      </c>
      <c r="F16" s="53">
        <f>('1.Pozitia financiara'!D32+'1.Pozitia financiara'!E32)/2/F6*360</f>
        <v>46.649842699287611</v>
      </c>
      <c r="G16" s="53">
        <f>('1.Pozitia financiara'!E32+'1.Pozitia financiara'!F32)/2/G6*360</f>
        <v>55.699501882684892</v>
      </c>
      <c r="H16" s="213">
        <f>('1.Pozitia financiara'!F32+'1.Pozitia financiara'!G32)/2/H6*360</f>
        <v>60.282077106456669</v>
      </c>
      <c r="O16" s="166"/>
      <c r="P16" s="170"/>
      <c r="Q16" s="170"/>
      <c r="R16" s="170"/>
      <c r="S16" s="115"/>
      <c r="T16" s="115"/>
      <c r="U16" s="115"/>
      <c r="V16" s="115"/>
    </row>
    <row r="17" spans="2:22" x14ac:dyDescent="0.35">
      <c r="B17" s="1" t="s">
        <v>24</v>
      </c>
      <c r="C17" s="30" t="s">
        <v>123</v>
      </c>
      <c r="D17" s="17">
        <f>'2.Sit.Rezultatului Global'!C19/'1.Pozitia financiara'!C19</f>
        <v>-8.7521698572703924E-3</v>
      </c>
      <c r="E17" s="17">
        <f>'2.Sit.Rezultatului Global'!D19/'1.Pozitia financiara'!D19</f>
        <v>-3.003962745398986E-4</v>
      </c>
      <c r="F17" s="17">
        <f>'2.Sit.Rezultatului Global'!E19/'1.Pozitia financiara'!E19</f>
        <v>5.932903726509774E-3</v>
      </c>
      <c r="G17" s="17">
        <f>'2.Sit.Rezultatului Global'!F19/'1.Pozitia financiara'!F19</f>
        <v>0.16310047737631933</v>
      </c>
      <c r="H17" s="210">
        <f>'2.Sit.Rezultatului Global'!G19/'1.Pozitia financiara'!G19</f>
        <v>-1.755420028489306E-2</v>
      </c>
      <c r="O17" s="166"/>
      <c r="P17" s="170"/>
      <c r="Q17" s="170"/>
      <c r="R17" s="170"/>
      <c r="S17" s="115"/>
      <c r="T17" s="115"/>
      <c r="U17" s="115"/>
      <c r="V17" s="115"/>
    </row>
    <row r="18" spans="2:22" x14ac:dyDescent="0.35">
      <c r="B18" s="1" t="s">
        <v>25</v>
      </c>
      <c r="C18" s="30" t="s">
        <v>124</v>
      </c>
      <c r="D18" s="17">
        <f>'2.Sit.Rezultatului Global'!C19/'1.Pozitia financiara'!C26</f>
        <v>-1.8752364725677328E-2</v>
      </c>
      <c r="E18" s="17">
        <f>'2.Sit.Rezultatului Global'!D19/'1.Pozitia financiara'!D26</f>
        <v>-6.0099253496164276E-4</v>
      </c>
      <c r="F18" s="17">
        <f>'2.Sit.Rezultatului Global'!E19/'1.Pozitia financiara'!E26</f>
        <v>1.288950454872956E-2</v>
      </c>
      <c r="G18" s="17">
        <f>'2.Sit.Rezultatului Global'!F19/'1.Pozitia financiara'!F26</f>
        <v>0.33076774982903362</v>
      </c>
      <c r="H18" s="210">
        <f>'2.Sit.Rezultatului Global'!G19/'1.Pozitia financiara'!G26</f>
        <v>-3.3778510444855449E-2</v>
      </c>
      <c r="O18" s="166"/>
      <c r="P18" s="170"/>
      <c r="Q18" s="170"/>
      <c r="R18" s="170"/>
      <c r="S18" s="115"/>
      <c r="T18" s="115"/>
      <c r="U18" s="115"/>
      <c r="V18" s="115"/>
    </row>
    <row r="19" spans="2:22" x14ac:dyDescent="0.35">
      <c r="B19" s="1" t="s">
        <v>26</v>
      </c>
      <c r="C19" s="30" t="s">
        <v>125</v>
      </c>
      <c r="D19" s="17">
        <f>'2.Sit.Rezultatului Global'!C19/D6</f>
        <v>-1.0522811000292027E-2</v>
      </c>
      <c r="E19" s="17">
        <f>'2.Sit.Rezultatului Global'!D19/E6</f>
        <v>-3.2612405331401646E-4</v>
      </c>
      <c r="F19" s="17">
        <f>'2.Sit.Rezultatului Global'!E19/F6</f>
        <v>5.2377787611258136E-3</v>
      </c>
      <c r="G19" s="17">
        <f>'2.Sit.Rezultatului Global'!F19/G6</f>
        <v>0.14670073565649092</v>
      </c>
      <c r="H19" s="210">
        <f>'2.Sit.Rezultatului Global'!G19/H6</f>
        <v>-1.6828504230141515E-2</v>
      </c>
      <c r="O19" s="166"/>
      <c r="P19" s="170"/>
      <c r="Q19" s="170"/>
      <c r="R19" s="170"/>
      <c r="S19" s="115"/>
      <c r="T19" s="115"/>
      <c r="U19" s="115"/>
      <c r="V19" s="115"/>
    </row>
    <row r="21" spans="2:22" x14ac:dyDescent="0.35">
      <c r="B21" s="11" t="s">
        <v>10</v>
      </c>
    </row>
    <row r="22" spans="2:22" x14ac:dyDescent="0.35">
      <c r="J22" s="115"/>
      <c r="K22" s="115"/>
      <c r="L22" s="115"/>
      <c r="M22" s="115"/>
      <c r="N22" s="115"/>
      <c r="O22" s="115"/>
    </row>
    <row r="23" spans="2:22" x14ac:dyDescent="0.35">
      <c r="J23" s="115"/>
      <c r="K23" s="115"/>
      <c r="L23" s="115"/>
      <c r="M23" s="115"/>
      <c r="N23" s="115"/>
      <c r="O23" s="115"/>
    </row>
    <row r="24" spans="2:22" x14ac:dyDescent="0.35">
      <c r="J24" s="115"/>
      <c r="K24" s="115"/>
      <c r="L24" s="115"/>
      <c r="M24" s="115"/>
      <c r="N24" s="115"/>
      <c r="O24" s="115"/>
    </row>
    <row r="25" spans="2:22" x14ac:dyDescent="0.35">
      <c r="J25" s="115"/>
      <c r="K25" s="115"/>
      <c r="L25" s="115"/>
      <c r="M25" s="115"/>
      <c r="N25" s="115"/>
      <c r="O25" s="115"/>
    </row>
    <row r="26" spans="2:22" x14ac:dyDescent="0.35">
      <c r="J26" s="115"/>
      <c r="K26" s="115"/>
      <c r="L26" s="115"/>
      <c r="M26" s="115"/>
      <c r="N26" s="115"/>
      <c r="O26" s="115"/>
    </row>
    <row r="27" spans="2:22" x14ac:dyDescent="0.35">
      <c r="J27" s="115"/>
      <c r="K27" s="115"/>
      <c r="L27" s="115"/>
      <c r="M27" s="115"/>
      <c r="N27" s="115"/>
      <c r="O27" s="115"/>
    </row>
    <row r="28" spans="2:22" x14ac:dyDescent="0.35">
      <c r="J28" s="115"/>
      <c r="K28" s="115"/>
      <c r="L28" s="115"/>
      <c r="M28" s="115"/>
      <c r="N28" s="115"/>
      <c r="O28" s="115"/>
    </row>
    <row r="29" spans="2:22" x14ac:dyDescent="0.35">
      <c r="J29" s="115"/>
      <c r="K29" s="115"/>
      <c r="L29" s="115"/>
      <c r="M29" s="115"/>
      <c r="N29" s="115"/>
      <c r="O29" s="115"/>
    </row>
    <row r="30" spans="2:22" x14ac:dyDescent="0.35">
      <c r="J30" s="115"/>
      <c r="K30" s="115"/>
      <c r="L30" s="115"/>
      <c r="M30" s="115"/>
      <c r="N30" s="115"/>
      <c r="O30" s="115"/>
    </row>
    <row r="31" spans="2:22" x14ac:dyDescent="0.35">
      <c r="J31" s="115"/>
      <c r="K31" s="115"/>
      <c r="L31" s="115"/>
      <c r="M31" s="115"/>
      <c r="N31" s="115"/>
      <c r="O31" s="115"/>
    </row>
    <row r="32" spans="2:22" x14ac:dyDescent="0.35">
      <c r="J32" s="115"/>
      <c r="K32" s="115"/>
      <c r="L32" s="115"/>
      <c r="M32" s="115"/>
      <c r="N32" s="115"/>
      <c r="O32" s="115"/>
    </row>
    <row r="33" spans="10:15" x14ac:dyDescent="0.35">
      <c r="J33" s="115"/>
      <c r="K33" s="115"/>
      <c r="L33" s="115"/>
      <c r="M33" s="115"/>
      <c r="N33" s="115"/>
      <c r="O33" s="115"/>
    </row>
    <row r="34" spans="10:15" x14ac:dyDescent="0.35">
      <c r="J34" s="115"/>
      <c r="K34" s="115"/>
      <c r="L34" s="115"/>
      <c r="M34" s="115"/>
      <c r="N34" s="115"/>
      <c r="O34" s="115"/>
    </row>
    <row r="35" spans="10:15" x14ac:dyDescent="0.35">
      <c r="J35" s="115"/>
      <c r="K35" s="115"/>
      <c r="L35" s="115"/>
      <c r="M35" s="115"/>
      <c r="N35" s="115"/>
      <c r="O35" s="115"/>
    </row>
    <row r="36" spans="10:15" x14ac:dyDescent="0.35">
      <c r="J36" s="115"/>
      <c r="K36" s="115"/>
      <c r="L36" s="115"/>
      <c r="M36" s="115"/>
      <c r="N36" s="115"/>
      <c r="O36" s="115"/>
    </row>
    <row r="37" spans="10:15" x14ac:dyDescent="0.35">
      <c r="J37" s="115"/>
      <c r="K37" s="115"/>
      <c r="L37" s="115"/>
      <c r="M37" s="115"/>
      <c r="N37" s="115"/>
      <c r="O37" s="115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9D49E-853A-49F6-AD4D-C89CC2595DE3}">
  <dimension ref="B1:U39"/>
  <sheetViews>
    <sheetView zoomScale="82" zoomScaleNormal="82" workbookViewId="0">
      <selection activeCell="AB26" sqref="AB26"/>
    </sheetView>
  </sheetViews>
  <sheetFormatPr defaultColWidth="9.08984375" defaultRowHeight="14.5" x14ac:dyDescent="0.35"/>
  <cols>
    <col min="1" max="1" width="5.6328125" style="96" customWidth="1"/>
    <col min="2" max="4" width="9.08984375" style="96"/>
    <col min="5" max="5" width="15.36328125" style="96" customWidth="1"/>
    <col min="6" max="6" width="9.08984375" style="96"/>
    <col min="7" max="7" width="15.6328125" style="96" customWidth="1"/>
    <col min="8" max="8" width="9.08984375" style="96"/>
    <col min="9" max="9" width="1.08984375" style="96" customWidth="1"/>
    <col min="10" max="16" width="9.08984375" style="96"/>
    <col min="17" max="17" width="3.6328125" style="96" customWidth="1"/>
    <col min="18" max="16384" width="9.08984375" style="96"/>
  </cols>
  <sheetData>
    <row r="1" spans="2:20" ht="8.25" customHeight="1" x14ac:dyDescent="0.35"/>
    <row r="2" spans="2:20" x14ac:dyDescent="0.35">
      <c r="B2" s="230" t="s">
        <v>107</v>
      </c>
      <c r="C2" s="230"/>
      <c r="D2" s="230"/>
      <c r="E2" s="230"/>
      <c r="F2" s="231" t="s">
        <v>63</v>
      </c>
      <c r="G2" s="231"/>
      <c r="H2" s="97"/>
      <c r="I2" s="97"/>
      <c r="J2" s="230" t="s">
        <v>109</v>
      </c>
      <c r="K2" s="230"/>
      <c r="L2" s="230"/>
      <c r="M2" s="230"/>
      <c r="N2" s="231" t="s">
        <v>116</v>
      </c>
      <c r="O2" s="231"/>
      <c r="P2" s="97"/>
      <c r="Q2" s="97"/>
      <c r="R2" s="230" t="s">
        <v>110</v>
      </c>
      <c r="S2" s="230"/>
      <c r="T2" s="95">
        <v>2023</v>
      </c>
    </row>
    <row r="3" spans="2:20" x14ac:dyDescent="0.35">
      <c r="B3" s="230" t="s">
        <v>108</v>
      </c>
      <c r="C3" s="230"/>
      <c r="D3" s="230"/>
      <c r="E3" s="230"/>
      <c r="F3" s="231" t="s">
        <v>70</v>
      </c>
      <c r="G3" s="231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2:20" ht="5.25" customHeight="1" x14ac:dyDescent="0.35"/>
    <row r="19" spans="2:21" ht="9" customHeight="1" x14ac:dyDescent="0.35"/>
    <row r="20" spans="2:21" s="98" customFormat="1" ht="15.5" x14ac:dyDescent="0.35">
      <c r="B20" s="232" t="s">
        <v>109</v>
      </c>
      <c r="C20" s="232"/>
      <c r="D20" s="232"/>
      <c r="E20" s="232"/>
      <c r="F20" s="231" t="s">
        <v>63</v>
      </c>
      <c r="G20" s="231"/>
      <c r="H20" s="231"/>
      <c r="O20" s="232" t="s">
        <v>109</v>
      </c>
      <c r="P20" s="232"/>
      <c r="Q20" s="232"/>
      <c r="R20" s="232"/>
      <c r="S20" s="229" t="s">
        <v>117</v>
      </c>
      <c r="T20" s="229"/>
      <c r="U20" s="229"/>
    </row>
    <row r="21" spans="2:21" ht="16.5" customHeight="1" x14ac:dyDescent="0.35">
      <c r="B21" s="232" t="s">
        <v>111</v>
      </c>
      <c r="C21" s="232"/>
      <c r="D21" s="232"/>
      <c r="E21" s="232"/>
      <c r="F21" s="231">
        <v>2023</v>
      </c>
      <c r="G21" s="231"/>
      <c r="H21" s="231"/>
    </row>
    <row r="39" spans="2:2" x14ac:dyDescent="0.35">
      <c r="B39" s="96" t="s">
        <v>10</v>
      </c>
    </row>
  </sheetData>
  <mergeCells count="13">
    <mergeCell ref="B21:E21"/>
    <mergeCell ref="F21:H21"/>
    <mergeCell ref="B20:E20"/>
    <mergeCell ref="F20:H20"/>
    <mergeCell ref="O20:R20"/>
    <mergeCell ref="S20:U20"/>
    <mergeCell ref="R2:S2"/>
    <mergeCell ref="B2:E2"/>
    <mergeCell ref="B3:E3"/>
    <mergeCell ref="F2:G2"/>
    <mergeCell ref="F3:G3"/>
    <mergeCell ref="J2:M2"/>
    <mergeCell ref="N2:O2"/>
  </mergeCells>
  <dataValidations count="4">
    <dataValidation type="list" allowBlank="1" showInputMessage="1" showErrorMessage="1" sqref="F2:G3 S20:U20" xr:uid="{3E6CC772-2AAB-4AD0-A3D6-39532E581268}">
      <formula1>List1</formula1>
    </dataValidation>
    <dataValidation type="list" allowBlank="1" showInputMessage="1" showErrorMessage="1" sqref="N2:O2" xr:uid="{3D62F296-CEC4-4A85-A2D7-B4EEB2B274B5}">
      <formula1>List2</formula1>
    </dataValidation>
    <dataValidation type="list" allowBlank="1" showInputMessage="1" showErrorMessage="1" sqref="F20" xr:uid="{EBC18753-CD2B-4717-AE19-6F1D8CEF1D72}">
      <formula1>List3</formula1>
    </dataValidation>
    <dataValidation type="list" allowBlank="1" showInputMessage="1" showErrorMessage="1" sqref="F21:H21 T2" xr:uid="{AF1FBAF8-636F-4C22-A37A-0B2616ADA029}">
      <formula1>"2023,2022,2021,2020,2019"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1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K27" sqref="K27"/>
    </sheetView>
  </sheetViews>
  <sheetFormatPr defaultColWidth="9.08984375" defaultRowHeight="14.5" x14ac:dyDescent="0.35"/>
  <cols>
    <col min="1" max="1" width="4" style="67" customWidth="1"/>
    <col min="2" max="2" width="40.08984375" style="67" customWidth="1"/>
    <col min="3" max="3" width="11.453125" style="67" bestFit="1" customWidth="1"/>
    <col min="4" max="4" width="11.81640625" style="67" bestFit="1" customWidth="1"/>
    <col min="5" max="5" width="11.1796875" style="67" bestFit="1" customWidth="1"/>
    <col min="6" max="6" width="11.81640625" style="67" bestFit="1" customWidth="1"/>
    <col min="7" max="7" width="12.453125" style="67" bestFit="1" customWidth="1"/>
    <col min="8" max="16384" width="9.08984375" style="67"/>
  </cols>
  <sheetData>
    <row r="1" spans="2:7" x14ac:dyDescent="0.35">
      <c r="F1" s="83"/>
      <c r="G1" s="83"/>
    </row>
    <row r="2" spans="2:7" ht="15" thickBot="1" x14ac:dyDescent="0.4">
      <c r="B2" s="67" t="s">
        <v>162</v>
      </c>
      <c r="F2" s="83"/>
      <c r="G2" s="84"/>
    </row>
    <row r="3" spans="2:7" s="110" customFormat="1" ht="21.75" customHeight="1" thickBot="1" x14ac:dyDescent="0.4">
      <c r="B3" s="198" t="s">
        <v>0</v>
      </c>
      <c r="C3" s="199">
        <v>2019</v>
      </c>
      <c r="D3" s="199">
        <f>C3+1</f>
        <v>2020</v>
      </c>
      <c r="E3" s="199">
        <f t="shared" ref="E3:G3" si="0">D3+1</f>
        <v>2021</v>
      </c>
      <c r="F3" s="199">
        <f t="shared" si="0"/>
        <v>2022</v>
      </c>
      <c r="G3" s="199">
        <f t="shared" si="0"/>
        <v>2023</v>
      </c>
    </row>
    <row r="4" spans="2:7" x14ac:dyDescent="0.35">
      <c r="B4" s="100" t="s">
        <v>34</v>
      </c>
      <c r="C4" s="100">
        <f>'2.Sit.Rezultatului Global'!C19</f>
        <v>-2617101.3881606706</v>
      </c>
      <c r="D4" s="100">
        <f>'2.Sit.Rezultatului Global'!D19</f>
        <v>-83965.634678496048</v>
      </c>
      <c r="E4" s="100">
        <f>'2.Sit.Rezultatului Global'!E19</f>
        <v>1790612.1117873723</v>
      </c>
      <c r="F4" s="100">
        <f>'2.Sit.Rezultatului Global'!F19</f>
        <v>56124754.813695632</v>
      </c>
      <c r="G4" s="100">
        <f>'2.Sit.Rezultatului Global'!G19</f>
        <v>-5135847</v>
      </c>
    </row>
    <row r="5" spans="2:7" x14ac:dyDescent="0.35">
      <c r="B5" s="100" t="s">
        <v>35</v>
      </c>
      <c r="C5" s="100">
        <f>-'2.Sit.Rezultatului Global'!C18</f>
        <v>274293</v>
      </c>
      <c r="D5" s="100">
        <f>-'2.Sit.Rezultatului Global'!D18</f>
        <v>267650</v>
      </c>
      <c r="E5" s="100">
        <f>-'2.Sit.Rezultatului Global'!E18</f>
        <v>928652.4</v>
      </c>
      <c r="F5" s="100">
        <f>-'2.Sit.Rezultatului Global'!F18</f>
        <v>1066842</v>
      </c>
      <c r="G5" s="100">
        <f>-'2.Sit.Rezultatului Global'!G18</f>
        <v>242991</v>
      </c>
    </row>
    <row r="6" spans="2:7" x14ac:dyDescent="0.35">
      <c r="B6" s="100" t="s">
        <v>36</v>
      </c>
      <c r="C6" s="100">
        <v>2099673.3565753424</v>
      </c>
      <c r="D6" s="100">
        <v>1789197.93</v>
      </c>
      <c r="E6" s="100">
        <v>1657221.9</v>
      </c>
      <c r="F6" s="100">
        <v>2364091.67</v>
      </c>
      <c r="G6" s="100">
        <v>3121845.49</v>
      </c>
    </row>
    <row r="7" spans="2:7" x14ac:dyDescent="0.35">
      <c r="B7" s="111" t="s">
        <v>33</v>
      </c>
      <c r="C7" s="111">
        <f>C4+C5+C6</f>
        <v>-243135.03158532828</v>
      </c>
      <c r="D7" s="111">
        <f>D4+D5+D6</f>
        <v>1972882.2953215039</v>
      </c>
      <c r="E7" s="111">
        <f>E4+E5+E6</f>
        <v>4376486.4117873721</v>
      </c>
      <c r="F7" s="111">
        <f>F4+F5+F6</f>
        <v>59555688.483695634</v>
      </c>
      <c r="G7" s="111">
        <f>G4+G5+G6</f>
        <v>-1771010.5099999998</v>
      </c>
    </row>
    <row r="8" spans="2:7" x14ac:dyDescent="0.35">
      <c r="B8" s="100" t="s">
        <v>37</v>
      </c>
      <c r="C8" s="100">
        <v>16301394.01</v>
      </c>
      <c r="D8" s="100">
        <v>15272030.719999999</v>
      </c>
      <c r="E8" s="100">
        <v>14897798.990000002</v>
      </c>
      <c r="F8" s="100">
        <v>14538409.470000001</v>
      </c>
      <c r="G8" s="100">
        <v>14320886.799999999</v>
      </c>
    </row>
    <row r="9" spans="2:7" x14ac:dyDescent="0.35">
      <c r="B9" s="100" t="s">
        <v>38</v>
      </c>
      <c r="C9" s="100">
        <v>3961115.5700000003</v>
      </c>
      <c r="D9" s="100">
        <v>3781951.31</v>
      </c>
      <c r="E9" s="100">
        <v>3745691.8</v>
      </c>
      <c r="F9" s="100">
        <v>3692904.8</v>
      </c>
      <c r="G9" s="100">
        <v>3600218.8</v>
      </c>
    </row>
    <row r="10" spans="2:7" x14ac:dyDescent="0.35">
      <c r="B10" s="111" t="s">
        <v>11</v>
      </c>
      <c r="C10" s="111">
        <f>C7+C8-C9</f>
        <v>12097143.408414671</v>
      </c>
      <c r="D10" s="111">
        <f>D7+D8-D9</f>
        <v>13462961.705321504</v>
      </c>
      <c r="E10" s="111">
        <f>E7+E8-E9</f>
        <v>15528593.601787373</v>
      </c>
      <c r="F10" s="111">
        <f>F7+F8-F9</f>
        <v>70401193.153695643</v>
      </c>
      <c r="G10" s="111">
        <f>G7+G8-G9</f>
        <v>8949657.4899999984</v>
      </c>
    </row>
    <row r="13" spans="2:7" x14ac:dyDescent="0.35">
      <c r="B13" s="67" t="s">
        <v>126</v>
      </c>
    </row>
    <row r="15" spans="2:7" x14ac:dyDescent="0.35">
      <c r="B15" s="67" t="s">
        <v>10</v>
      </c>
      <c r="C15" s="116"/>
      <c r="D15" s="116"/>
      <c r="E15" s="116"/>
      <c r="F15" s="116"/>
    </row>
    <row r="17" spans="3:6" x14ac:dyDescent="0.35">
      <c r="C17" s="116"/>
      <c r="D17" s="116"/>
      <c r="E17" s="116"/>
      <c r="F17" s="116"/>
    </row>
    <row r="18" spans="3:6" x14ac:dyDescent="0.35">
      <c r="C18" s="116"/>
      <c r="D18" s="116"/>
      <c r="E18" s="116"/>
      <c r="F18" s="116"/>
    </row>
  </sheetData>
  <pageMargins left="0.7" right="0.7" top="0.75" bottom="0.75" header="0.3" footer="0.3"/>
  <pageSetup paperSize="9" orientation="portrait" r:id="rId1"/>
  <drawing r:id="rId2"/>
</worksheet>
</file>

<file path=docMetadata/LabelInfo.xml><?xml version="1.0" encoding="utf-8"?>
<clbl:labelList xmlns:clbl="http://schemas.microsoft.com/office/2020/mipLabelMetadata">
  <clbl:label id="{beb21d21-9938-4ab8-bb7d-321daa53b3ce}" enabled="1" method="Standard" siteId="{da7cd86b-2037-41c5-9ffe-1c010686ff1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Cuprins</vt:lpstr>
      <vt:lpstr>hiddenPage</vt:lpstr>
      <vt:lpstr>Snapshots</vt:lpstr>
      <vt:lpstr>1.Pozitia financiara</vt:lpstr>
      <vt:lpstr>2.Sit.Rezultatului Global</vt:lpstr>
      <vt:lpstr>3.Sit. fluxurilor de numerar</vt:lpstr>
      <vt:lpstr>4.Indicatori financiari</vt:lpstr>
      <vt:lpstr>Grafice</vt:lpstr>
      <vt:lpstr>EBIT-EBITDA</vt:lpstr>
      <vt:lpstr>List1</vt:lpstr>
      <vt:lpstr>List2</vt:lpstr>
      <vt:lpstr>List3</vt:lpstr>
      <vt:lpstr>Selection1</vt:lpstr>
      <vt:lpstr>Selection2</vt:lpstr>
      <vt:lpstr>Selection3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2024-04-15T10:16:43Z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b21d21-9938-4ab8-bb7d-321daa53b3ce_Enabled">
    <vt:lpwstr>True</vt:lpwstr>
  </property>
  <property fmtid="{D5CDD505-2E9C-101B-9397-08002B2CF9AE}" pid="3" name="MSIP_Label_beb21d21-9938-4ab8-bb7d-321daa53b3ce_SiteId">
    <vt:lpwstr>da7cd86b-2037-41c5-9ffe-1c010686ff18</vt:lpwstr>
  </property>
  <property fmtid="{D5CDD505-2E9C-101B-9397-08002B2CF9AE}" pid="4" name="MSIP_Label_beb21d21-9938-4ab8-bb7d-321daa53b3ce_Owner">
    <vt:lpwstr>adrian.coman@romcarbon.com</vt:lpwstr>
  </property>
  <property fmtid="{D5CDD505-2E9C-101B-9397-08002B2CF9AE}" pid="5" name="MSIP_Label_beb21d21-9938-4ab8-bb7d-321daa53b3ce_SetDate">
    <vt:lpwstr>2020-04-03T07:15:35.9427144Z</vt:lpwstr>
  </property>
  <property fmtid="{D5CDD505-2E9C-101B-9397-08002B2CF9AE}" pid="6" name="MSIP_Label_beb21d21-9938-4ab8-bb7d-321daa53b3ce_Name">
    <vt:lpwstr>General</vt:lpwstr>
  </property>
  <property fmtid="{D5CDD505-2E9C-101B-9397-08002B2CF9AE}" pid="7" name="MSIP_Label_beb21d21-9938-4ab8-bb7d-321daa53b3ce_Application">
    <vt:lpwstr>Microsoft Azure Information Protection</vt:lpwstr>
  </property>
  <property fmtid="{D5CDD505-2E9C-101B-9397-08002B2CF9AE}" pid="8" name="MSIP_Label_beb21d21-9938-4ab8-bb7d-321daa53b3ce_ActionId">
    <vt:lpwstr>4898e9b2-644e-472e-b106-e8b281674bf1</vt:lpwstr>
  </property>
  <property fmtid="{D5CDD505-2E9C-101B-9397-08002B2CF9AE}" pid="9" name="MSIP_Label_beb21d21-9938-4ab8-bb7d-321daa53b3ce_Extended_MSFT_Method">
    <vt:lpwstr>Automatic</vt:lpwstr>
  </property>
  <property fmtid="{D5CDD505-2E9C-101B-9397-08002B2CF9AE}" pid="10" name="Sensitivity">
    <vt:lpwstr>General</vt:lpwstr>
  </property>
</Properties>
</file>