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183" documentId="8_{F718BDCB-8399-45F0-85C1-58DE13723837}" xr6:coauthVersionLast="47" xr6:coauthVersionMax="47" xr10:uidLastSave="{1BE48C91-359F-4B86-88AD-692AD17AF747}"/>
  <bookViews>
    <workbookView xWindow="-110" yWindow="-110" windowWidth="25820" windowHeight="15500" tabRatio="804" activeTab="4" xr2:uid="{00000000-000D-0000-FFFF-FFFF00000000}"/>
  </bookViews>
  <sheets>
    <sheet name="Cuprins" sheetId="6" r:id="rId1"/>
    <sheet name="HiddenPage" sheetId="10" state="hidden" r:id="rId2"/>
    <sheet name="Snapshots" sheetId="8" r:id="rId3"/>
    <sheet name="1.Pozitia Financiara" sheetId="1" r:id="rId4"/>
    <sheet name="2.Sit. Rezultatului global" sheetId="2" r:id="rId5"/>
    <sheet name="3.Fluxurile de numerar" sheetId="7" r:id="rId6"/>
    <sheet name="4.Indicatori financiari" sheetId="3" r:id="rId7"/>
    <sheet name="Grafice" sheetId="9" r:id="rId8"/>
    <sheet name="EBIT-EBITDA" sheetId="5" r:id="rId9"/>
  </sheets>
  <definedNames>
    <definedName name="Area">INDEX(HiddenPage!XEW1048572:XEW1,MATCH(HiddenPage!B1048571,HiddenPage!XFD1048572:XFD1,0)):INDEX(HiddenPage!XEW1048572:XEW1,MATCH(HiddenPage!B1048572,HiddenPage!XFD1048572:XFD1,0))</definedName>
    <definedName name="Data">IF(HiddenPage!$J$16=4,Selection3,IF(HiddenPage!$J$16=5,Selection2,Selection1))</definedName>
    <definedName name="List1">HiddenPage!$L$3:$L$14</definedName>
    <definedName name="List2">HiddenPage!$N$3:$N$6</definedName>
    <definedName name="List3">HiddenPage!$X$3:$X$7</definedName>
    <definedName name="Selection1">HiddenPage!$A$16:$G$21</definedName>
    <definedName name="Selection2">HiddenPage!$A$16:$G$20</definedName>
    <definedName name="Selection3">HiddenPage!$A$16:$G$19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7" l="1"/>
  <c r="E2" i="7" s="1"/>
  <c r="F2" i="7" s="1"/>
  <c r="G2" i="7" s="1"/>
  <c r="H2" i="7" s="1"/>
  <c r="I2" i="7" s="1"/>
  <c r="H65" i="7"/>
  <c r="G65" i="7"/>
  <c r="F65" i="7"/>
  <c r="E65" i="7"/>
  <c r="D65" i="7"/>
  <c r="C65" i="7"/>
  <c r="H57" i="7"/>
  <c r="G57" i="7"/>
  <c r="E57" i="7"/>
  <c r="D57" i="7"/>
  <c r="C57" i="7"/>
  <c r="F52" i="7"/>
  <c r="F57" i="7" s="1"/>
  <c r="H33" i="7"/>
  <c r="H38" i="7" s="1"/>
  <c r="G33" i="7"/>
  <c r="G38" i="7" s="1"/>
  <c r="F33" i="7"/>
  <c r="F38" i="7" s="1"/>
  <c r="E33" i="7"/>
  <c r="E38" i="7" s="1"/>
  <c r="E67" i="7" s="1"/>
  <c r="E73" i="7" s="1"/>
  <c r="E76" i="7" s="1"/>
  <c r="D33" i="7"/>
  <c r="D38" i="7" s="1"/>
  <c r="C33" i="7"/>
  <c r="C38" i="7" s="1"/>
  <c r="I65" i="7"/>
  <c r="I57" i="7"/>
  <c r="I33" i="7"/>
  <c r="I38" i="7" s="1"/>
  <c r="D67" i="7" l="1"/>
  <c r="D73" i="7" s="1"/>
  <c r="D76" i="7" s="1"/>
  <c r="F67" i="7"/>
  <c r="F73" i="7" s="1"/>
  <c r="G69" i="7" s="1"/>
  <c r="G67" i="7"/>
  <c r="C67" i="7"/>
  <c r="C73" i="7" s="1"/>
  <c r="C76" i="7" s="1"/>
  <c r="I67" i="7"/>
  <c r="H67" i="7"/>
  <c r="G73" i="7" l="1"/>
  <c r="H69" i="7" s="1"/>
  <c r="H73" i="7" s="1"/>
  <c r="H76" i="7" s="1"/>
  <c r="F76" i="7"/>
  <c r="G76" i="7" l="1"/>
  <c r="I69" i="7"/>
  <c r="I73" i="7" s="1"/>
  <c r="I76" i="7" s="1"/>
  <c r="E12" i="2" l="1"/>
  <c r="E16" i="2" s="1"/>
  <c r="F16" i="2"/>
  <c r="F12" i="2"/>
  <c r="E9" i="8" l="1"/>
  <c r="F9" i="8"/>
  <c r="B9" i="10" l="1"/>
  <c r="B15" i="10" s="1"/>
  <c r="K55" i="2"/>
  <c r="J55" i="2"/>
  <c r="I55" i="2"/>
  <c r="H31" i="2"/>
  <c r="H32" i="2" s="1"/>
  <c r="H35" i="2"/>
  <c r="G62" i="2"/>
  <c r="F62" i="2"/>
  <c r="E62" i="2"/>
  <c r="D62" i="2"/>
  <c r="C62" i="2"/>
  <c r="B62" i="2"/>
  <c r="G52" i="2"/>
  <c r="F52" i="2"/>
  <c r="E52" i="2"/>
  <c r="D52" i="2"/>
  <c r="C52" i="2"/>
  <c r="B52" i="2"/>
  <c r="D49" i="2"/>
  <c r="G47" i="2"/>
  <c r="G49" i="2" s="1"/>
  <c r="F47" i="2"/>
  <c r="F49" i="2" s="1"/>
  <c r="E47" i="2"/>
  <c r="E49" i="2" s="1"/>
  <c r="D47" i="2"/>
  <c r="C47" i="2"/>
  <c r="C49" i="2" s="1"/>
  <c r="B47" i="2"/>
  <c r="B49" i="2" s="1"/>
  <c r="G44" i="2"/>
  <c r="F44" i="2"/>
  <c r="E44" i="2"/>
  <c r="D44" i="2"/>
  <c r="C44" i="2"/>
  <c r="B44" i="2"/>
  <c r="G40" i="2"/>
  <c r="G41" i="2" s="1"/>
  <c r="F40" i="2"/>
  <c r="F41" i="2" s="1"/>
  <c r="E40" i="2"/>
  <c r="D40" i="2"/>
  <c r="C40" i="2"/>
  <c r="B40" i="2"/>
  <c r="B41" i="2" s="1"/>
  <c r="G35" i="2"/>
  <c r="F35" i="2"/>
  <c r="E35" i="2"/>
  <c r="D35" i="2"/>
  <c r="C35" i="2"/>
  <c r="B35" i="2"/>
  <c r="G31" i="2"/>
  <c r="G32" i="2" s="1"/>
  <c r="F31" i="2"/>
  <c r="F32" i="2" s="1"/>
  <c r="E31" i="2"/>
  <c r="E32" i="2" s="1"/>
  <c r="D31" i="2"/>
  <c r="D32" i="2" s="1"/>
  <c r="C31" i="2"/>
  <c r="C32" i="2" s="1"/>
  <c r="B31" i="2"/>
  <c r="B32" i="2" s="1"/>
  <c r="G25" i="2"/>
  <c r="F25" i="2"/>
  <c r="E25" i="2"/>
  <c r="D25" i="2"/>
  <c r="C25" i="2"/>
  <c r="B25" i="2"/>
  <c r="F18" i="2"/>
  <c r="F21" i="2" s="1"/>
  <c r="G12" i="2"/>
  <c r="G9" i="8" s="1"/>
  <c r="E18" i="2"/>
  <c r="E21" i="2" s="1"/>
  <c r="D12" i="2"/>
  <c r="C12" i="2"/>
  <c r="B12" i="2"/>
  <c r="I40" i="1"/>
  <c r="I47" i="1" s="1"/>
  <c r="F31" i="1"/>
  <c r="E31" i="1"/>
  <c r="D31" i="1"/>
  <c r="C31" i="1"/>
  <c r="C32" i="1" s="1"/>
  <c r="C33" i="1" s="1"/>
  <c r="B31" i="1"/>
  <c r="B32" i="1" s="1"/>
  <c r="B17" i="8" s="1"/>
  <c r="G30" i="1"/>
  <c r="G29" i="1"/>
  <c r="G31" i="1" s="1"/>
  <c r="G27" i="1"/>
  <c r="F27" i="1"/>
  <c r="E27" i="1"/>
  <c r="D27" i="1"/>
  <c r="C27" i="1"/>
  <c r="B27" i="1"/>
  <c r="G22" i="1"/>
  <c r="F22" i="1"/>
  <c r="F16" i="8" s="1"/>
  <c r="E22" i="1"/>
  <c r="D22" i="1"/>
  <c r="D16" i="8" s="1"/>
  <c r="C22" i="1"/>
  <c r="B22" i="1"/>
  <c r="G16" i="1"/>
  <c r="F16" i="1"/>
  <c r="E16" i="1"/>
  <c r="E17" i="1" s="1"/>
  <c r="D16" i="1"/>
  <c r="C16" i="1"/>
  <c r="C15" i="8" s="1"/>
  <c r="B16" i="1"/>
  <c r="B19" i="8" s="1"/>
  <c r="G8" i="1"/>
  <c r="G14" i="8" s="1"/>
  <c r="F8" i="1"/>
  <c r="F14" i="8" s="1"/>
  <c r="E8" i="1"/>
  <c r="D8" i="1"/>
  <c r="D14" i="8" s="1"/>
  <c r="C8" i="1"/>
  <c r="B8" i="1"/>
  <c r="D3" i="1"/>
  <c r="D40" i="1" s="1"/>
  <c r="C3" i="1"/>
  <c r="C47" i="1" s="1"/>
  <c r="H12" i="2"/>
  <c r="H31" i="1"/>
  <c r="H27" i="1"/>
  <c r="H22" i="1"/>
  <c r="H16" i="8" s="1"/>
  <c r="H16" i="1"/>
  <c r="H8" i="1"/>
  <c r="D47" i="1"/>
  <c r="B47" i="1"/>
  <c r="C40" i="1"/>
  <c r="B40" i="1"/>
  <c r="C4" i="8"/>
  <c r="D4" i="8" s="1"/>
  <c r="E4" i="8" s="1"/>
  <c r="F4" i="8" s="1"/>
  <c r="G4" i="8" s="1"/>
  <c r="H4" i="8" s="1"/>
  <c r="I4" i="8" s="1"/>
  <c r="K12" i="8"/>
  <c r="J12" i="8"/>
  <c r="I12" i="8"/>
  <c r="H11" i="8"/>
  <c r="G11" i="8"/>
  <c r="F11" i="8"/>
  <c r="E11" i="8"/>
  <c r="D11" i="8"/>
  <c r="C11" i="8"/>
  <c r="B11" i="8"/>
  <c r="K54" i="2"/>
  <c r="J54" i="2"/>
  <c r="I54" i="2"/>
  <c r="L30" i="1"/>
  <c r="K30" i="1"/>
  <c r="J30" i="1"/>
  <c r="L28" i="1"/>
  <c r="K28" i="1"/>
  <c r="J28" i="1"/>
  <c r="L26" i="1"/>
  <c r="K26" i="1"/>
  <c r="J26" i="1"/>
  <c r="L25" i="1"/>
  <c r="K25" i="1"/>
  <c r="J25" i="1"/>
  <c r="K24" i="1"/>
  <c r="J24" i="1"/>
  <c r="L23" i="1"/>
  <c r="K23" i="1"/>
  <c r="J23" i="1"/>
  <c r="L21" i="1"/>
  <c r="K21" i="1"/>
  <c r="J21" i="1"/>
  <c r="L20" i="1"/>
  <c r="K20" i="1"/>
  <c r="J20" i="1"/>
  <c r="L19" i="1"/>
  <c r="K19" i="1"/>
  <c r="J19" i="1"/>
  <c r="L18" i="1"/>
  <c r="K18" i="1"/>
  <c r="J18" i="1"/>
  <c r="E19" i="8"/>
  <c r="L15" i="1"/>
  <c r="K15" i="1"/>
  <c r="J15" i="1"/>
  <c r="L14" i="1"/>
  <c r="K14" i="1"/>
  <c r="J14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B14" i="8"/>
  <c r="L7" i="1"/>
  <c r="K7" i="1"/>
  <c r="J7" i="1"/>
  <c r="L6" i="1"/>
  <c r="K6" i="1"/>
  <c r="J6" i="1"/>
  <c r="L5" i="1"/>
  <c r="K5" i="1"/>
  <c r="J5" i="1"/>
  <c r="L4" i="1"/>
  <c r="K4" i="1"/>
  <c r="J4" i="1"/>
  <c r="B5" i="8"/>
  <c r="C5" i="8"/>
  <c r="D5" i="8"/>
  <c r="E5" i="8"/>
  <c r="F5" i="8"/>
  <c r="G5" i="8"/>
  <c r="H5" i="8"/>
  <c r="B6" i="8"/>
  <c r="C6" i="8"/>
  <c r="D6" i="8"/>
  <c r="E6" i="8"/>
  <c r="F6" i="8"/>
  <c r="G6" i="8"/>
  <c r="H6" i="8"/>
  <c r="I8" i="8"/>
  <c r="J8" i="8"/>
  <c r="K8" i="8"/>
  <c r="C14" i="8"/>
  <c r="E14" i="8"/>
  <c r="C16" i="8"/>
  <c r="E16" i="8"/>
  <c r="G16" i="8"/>
  <c r="F17" i="1" l="1"/>
  <c r="G17" i="1"/>
  <c r="H16" i="2"/>
  <c r="H18" i="2" s="1"/>
  <c r="H21" i="2" s="1"/>
  <c r="H9" i="8"/>
  <c r="L8" i="1"/>
  <c r="B16" i="2"/>
  <c r="B18" i="2" s="1"/>
  <c r="B21" i="2" s="1"/>
  <c r="B9" i="8"/>
  <c r="C16" i="2"/>
  <c r="C18" i="2" s="1"/>
  <c r="C21" i="2" s="1"/>
  <c r="C9" i="8"/>
  <c r="C19" i="8"/>
  <c r="G15" i="8"/>
  <c r="D16" i="2"/>
  <c r="D18" i="2" s="1"/>
  <c r="D21" i="2" s="1"/>
  <c r="D9" i="8"/>
  <c r="C41" i="2"/>
  <c r="D41" i="2"/>
  <c r="E41" i="2"/>
  <c r="K11" i="8"/>
  <c r="G16" i="2"/>
  <c r="G18" i="2" s="1"/>
  <c r="G21" i="2" s="1"/>
  <c r="J11" i="8"/>
  <c r="I11" i="8"/>
  <c r="B17" i="1"/>
  <c r="C17" i="1"/>
  <c r="C35" i="1" s="1"/>
  <c r="B33" i="1"/>
  <c r="B35" i="1" s="1"/>
  <c r="D32" i="1"/>
  <c r="D33" i="1" s="1"/>
  <c r="E32" i="1"/>
  <c r="E33" i="1" s="1"/>
  <c r="F19" i="8"/>
  <c r="E3" i="1"/>
  <c r="E47" i="1" s="1"/>
  <c r="F15" i="8"/>
  <c r="E15" i="8"/>
  <c r="J29" i="1"/>
  <c r="K29" i="1"/>
  <c r="L29" i="1"/>
  <c r="H32" i="1"/>
  <c r="H33" i="1" s="1"/>
  <c r="K22" i="1"/>
  <c r="J22" i="1"/>
  <c r="L22" i="1"/>
  <c r="L31" i="1"/>
  <c r="G19" i="8"/>
  <c r="G32" i="1"/>
  <c r="J31" i="1"/>
  <c r="K31" i="1"/>
  <c r="E35" i="1"/>
  <c r="B16" i="8"/>
  <c r="E40" i="1"/>
  <c r="F32" i="1"/>
  <c r="F3" i="1"/>
  <c r="D17" i="1"/>
  <c r="D35" i="1" s="1"/>
  <c r="H14" i="8"/>
  <c r="J14" i="8" s="1"/>
  <c r="H17" i="1"/>
  <c r="I5" i="8"/>
  <c r="I6" i="8"/>
  <c r="E10" i="8"/>
  <c r="F10" i="8"/>
  <c r="G10" i="8"/>
  <c r="G13" i="8" s="1"/>
  <c r="B10" i="8"/>
  <c r="B13" i="8" s="1"/>
  <c r="H10" i="8"/>
  <c r="D17" i="8"/>
  <c r="E17" i="8"/>
  <c r="C17" i="8"/>
  <c r="C18" i="8" s="1"/>
  <c r="J16" i="1"/>
  <c r="J27" i="1"/>
  <c r="H19" i="8"/>
  <c r="K16" i="1"/>
  <c r="K27" i="1"/>
  <c r="J8" i="1"/>
  <c r="L16" i="1"/>
  <c r="K8" i="1"/>
  <c r="L27" i="1"/>
  <c r="D15" i="8"/>
  <c r="D19" i="8"/>
  <c r="B15" i="8"/>
  <c r="B18" i="8" s="1"/>
  <c r="H15" i="8"/>
  <c r="I16" i="8"/>
  <c r="J6" i="8"/>
  <c r="K6" i="8"/>
  <c r="K16" i="8"/>
  <c r="J16" i="8"/>
  <c r="K5" i="8"/>
  <c r="J5" i="8"/>
  <c r="D10" i="8" l="1"/>
  <c r="D13" i="8" s="1"/>
  <c r="K9" i="8"/>
  <c r="I9" i="8"/>
  <c r="J9" i="8"/>
  <c r="C10" i="8"/>
  <c r="C13" i="8" s="1"/>
  <c r="I15" i="8"/>
  <c r="K10" i="8"/>
  <c r="H13" i="8"/>
  <c r="K13" i="8" s="1"/>
  <c r="H35" i="1"/>
  <c r="E13" i="8"/>
  <c r="F13" i="8"/>
  <c r="I19" i="8"/>
  <c r="I14" i="8"/>
  <c r="I8" i="1"/>
  <c r="E18" i="8"/>
  <c r="I27" i="1"/>
  <c r="K19" i="8"/>
  <c r="I16" i="1"/>
  <c r="F33" i="1"/>
  <c r="F35" i="1" s="1"/>
  <c r="F17" i="8"/>
  <c r="F18" i="8" s="1"/>
  <c r="F47" i="1"/>
  <c r="G3" i="1"/>
  <c r="F40" i="1"/>
  <c r="G33" i="1"/>
  <c r="G35" i="1" s="1"/>
  <c r="G17" i="8"/>
  <c r="G18" i="8" s="1"/>
  <c r="K14" i="8"/>
  <c r="J19" i="8"/>
  <c r="D18" i="8"/>
  <c r="J10" i="8"/>
  <c r="I10" i="8"/>
  <c r="K15" i="8"/>
  <c r="J15" i="8"/>
  <c r="I29" i="1"/>
  <c r="I18" i="1"/>
  <c r="I7" i="1"/>
  <c r="I5" i="1"/>
  <c r="I31" i="1"/>
  <c r="I20" i="1"/>
  <c r="I24" i="1"/>
  <c r="I22" i="1"/>
  <c r="L17" i="1"/>
  <c r="I13" i="1"/>
  <c r="I11" i="1"/>
  <c r="I9" i="1"/>
  <c r="I19" i="1"/>
  <c r="I6" i="1"/>
  <c r="I26" i="1"/>
  <c r="K17" i="1"/>
  <c r="I15" i="1"/>
  <c r="I17" i="1"/>
  <c r="I30" i="1"/>
  <c r="I28" i="1"/>
  <c r="J17" i="1"/>
  <c r="I4" i="1"/>
  <c r="I21" i="1"/>
  <c r="I23" i="1"/>
  <c r="I12" i="1"/>
  <c r="I10" i="1"/>
  <c r="I25" i="1"/>
  <c r="I14" i="1"/>
  <c r="J32" i="1"/>
  <c r="L32" i="1"/>
  <c r="H17" i="8"/>
  <c r="K32" i="1"/>
  <c r="I32" i="1"/>
  <c r="J13" i="8" l="1"/>
  <c r="I13" i="8"/>
  <c r="G47" i="1"/>
  <c r="G40" i="1"/>
  <c r="H3" i="1"/>
  <c r="L33" i="1"/>
  <c r="K33" i="1"/>
  <c r="J33" i="1"/>
  <c r="I33" i="1"/>
  <c r="I17" i="8"/>
  <c r="H18" i="8"/>
  <c r="K17" i="8"/>
  <c r="J17" i="8"/>
  <c r="J3" i="1" l="1"/>
  <c r="H47" i="1"/>
  <c r="H40" i="1"/>
  <c r="K18" i="8"/>
  <c r="I18" i="8"/>
  <c r="J18" i="8"/>
  <c r="B63" i="2"/>
  <c r="C63" i="2"/>
  <c r="D63" i="2"/>
  <c r="E63" i="2"/>
  <c r="F63" i="2"/>
  <c r="G63" i="2"/>
  <c r="G50" i="1" l="1"/>
  <c r="F50" i="1"/>
  <c r="E50" i="1"/>
  <c r="D50" i="1"/>
  <c r="C50" i="1"/>
  <c r="B50" i="1"/>
  <c r="G43" i="1"/>
  <c r="F43" i="1"/>
  <c r="E43" i="1"/>
  <c r="D43" i="1"/>
  <c r="C43" i="1"/>
  <c r="B43" i="1"/>
  <c r="H11" i="3" l="1"/>
  <c r="G11" i="3"/>
  <c r="F11" i="3"/>
  <c r="E11" i="3"/>
  <c r="D11" i="3"/>
  <c r="C11" i="3"/>
  <c r="K15" i="2" l="1"/>
  <c r="J15" i="2" l="1"/>
  <c r="I15" i="2"/>
  <c r="K14" i="2"/>
  <c r="J14" i="2"/>
  <c r="I14" i="2"/>
  <c r="H52" i="2" l="1"/>
  <c r="H62" i="2"/>
  <c r="H63" i="2" s="1"/>
  <c r="J61" i="2"/>
  <c r="I61" i="2"/>
  <c r="J60" i="2"/>
  <c r="I60" i="2"/>
  <c r="J59" i="2"/>
  <c r="I59" i="2"/>
  <c r="J58" i="2"/>
  <c r="I58" i="2"/>
  <c r="J57" i="2"/>
  <c r="I57" i="2"/>
  <c r="J56" i="2"/>
  <c r="I56" i="2"/>
  <c r="K53" i="2"/>
  <c r="J53" i="2"/>
  <c r="I53" i="2"/>
  <c r="K20" i="2"/>
  <c r="J20" i="2"/>
  <c r="I20" i="2"/>
  <c r="J19" i="2"/>
  <c r="I19" i="2"/>
  <c r="K17" i="2"/>
  <c r="J17" i="2"/>
  <c r="I17" i="2"/>
  <c r="K13" i="2"/>
  <c r="J13" i="2"/>
  <c r="I13" i="2"/>
  <c r="K11" i="2"/>
  <c r="J11" i="2"/>
  <c r="I11" i="2"/>
  <c r="K10" i="2"/>
  <c r="J10" i="2"/>
  <c r="I10" i="2"/>
  <c r="K9" i="2"/>
  <c r="J9" i="2"/>
  <c r="I9" i="2"/>
  <c r="K8" i="2"/>
  <c r="J8" i="2"/>
  <c r="I8" i="2"/>
  <c r="K7" i="2"/>
  <c r="J7" i="2"/>
  <c r="I7" i="2"/>
  <c r="K6" i="2"/>
  <c r="J6" i="2"/>
  <c r="I6" i="2"/>
  <c r="K5" i="2"/>
  <c r="J5" i="2"/>
  <c r="I5" i="2"/>
  <c r="K4" i="2"/>
  <c r="J4" i="2"/>
  <c r="I4" i="2"/>
  <c r="K62" i="2" l="1"/>
  <c r="J12" i="2"/>
  <c r="I62" i="2"/>
  <c r="J62" i="2"/>
  <c r="I12" i="2"/>
  <c r="K12" i="2"/>
  <c r="I16" i="2" l="1"/>
  <c r="J16" i="2"/>
  <c r="K16" i="2"/>
  <c r="I52" i="2"/>
  <c r="K21" i="2" l="1"/>
  <c r="I18" i="2"/>
  <c r="K18" i="2"/>
  <c r="J18" i="2"/>
  <c r="I21" i="2" l="1"/>
  <c r="J21" i="2"/>
  <c r="H50" i="1"/>
  <c r="K49" i="1"/>
  <c r="J49" i="1"/>
  <c r="L48" i="1"/>
  <c r="K48" i="1"/>
  <c r="J48" i="1"/>
  <c r="J47" i="1"/>
  <c r="H43" i="1"/>
  <c r="I43" i="1" s="1"/>
  <c r="K42" i="1"/>
  <c r="J42" i="1"/>
  <c r="L41" i="1"/>
  <c r="K41" i="1"/>
  <c r="J41" i="1"/>
  <c r="J40" i="1"/>
  <c r="A90" i="10"/>
  <c r="B82" i="10"/>
  <c r="I41" i="1" l="1"/>
  <c r="I42" i="1"/>
  <c r="I48" i="1"/>
  <c r="I49" i="1"/>
  <c r="I50" i="1"/>
  <c r="L50" i="1"/>
  <c r="K43" i="1"/>
  <c r="J43" i="1"/>
  <c r="L43" i="1"/>
  <c r="J50" i="1"/>
  <c r="K50" i="1"/>
  <c r="A25" i="10"/>
  <c r="A26" i="10" s="1"/>
  <c r="A27" i="10" s="1"/>
  <c r="A28" i="10" s="1"/>
  <c r="A29" i="10" s="1"/>
  <c r="A30" i="10" s="1"/>
  <c r="C15" i="10"/>
  <c r="D15" i="10" s="1"/>
  <c r="E15" i="10" s="1"/>
  <c r="F15" i="10" s="1"/>
  <c r="G15" i="10" s="1"/>
  <c r="H15" i="10" s="1"/>
  <c r="C9" i="10"/>
  <c r="C3" i="10"/>
  <c r="D3" i="10" s="1"/>
  <c r="E3" i="10" s="1"/>
  <c r="F3" i="10" s="1"/>
  <c r="G3" i="10" s="1"/>
  <c r="H3" i="10" s="1"/>
  <c r="G4" i="5"/>
  <c r="F4" i="5"/>
  <c r="E4" i="5"/>
  <c r="D4" i="5"/>
  <c r="C4" i="5"/>
  <c r="B4" i="5"/>
  <c r="I11" i="3"/>
  <c r="H4" i="5"/>
  <c r="D9" i="10" l="1"/>
  <c r="C82" i="10"/>
  <c r="E9" i="10" l="1"/>
  <c r="D82" i="10"/>
  <c r="I68" i="10"/>
  <c r="I69" i="10"/>
  <c r="I70" i="10"/>
  <c r="I67" i="10"/>
  <c r="A63" i="10"/>
  <c r="F9" i="10" l="1"/>
  <c r="E82" i="10"/>
  <c r="G9" i="10" l="1"/>
  <c r="F82" i="10"/>
  <c r="H70" i="10"/>
  <c r="G70" i="10"/>
  <c r="F70" i="10"/>
  <c r="E70" i="10"/>
  <c r="D70" i="10"/>
  <c r="C70" i="10"/>
  <c r="H69" i="10"/>
  <c r="G69" i="10"/>
  <c r="F69" i="10"/>
  <c r="E69" i="10"/>
  <c r="D69" i="10"/>
  <c r="C69" i="10"/>
  <c r="G68" i="10"/>
  <c r="F68" i="10"/>
  <c r="E68" i="10"/>
  <c r="D68" i="10"/>
  <c r="C68" i="10"/>
  <c r="G67" i="10"/>
  <c r="F67" i="10"/>
  <c r="E67" i="10"/>
  <c r="D67" i="10"/>
  <c r="C67" i="10"/>
  <c r="B70" i="10"/>
  <c r="B69" i="10"/>
  <c r="B68" i="10"/>
  <c r="B67" i="10"/>
  <c r="C66" i="10"/>
  <c r="C75" i="10" s="1"/>
  <c r="D66" i="10"/>
  <c r="D75" i="10" s="1"/>
  <c r="E66" i="10"/>
  <c r="E75" i="10" s="1"/>
  <c r="F66" i="10"/>
  <c r="F75" i="10" s="1"/>
  <c r="G66" i="10"/>
  <c r="G75" i="10" s="1"/>
  <c r="H66" i="10"/>
  <c r="H75" i="10" s="1"/>
  <c r="B66" i="10"/>
  <c r="B75" i="10" s="1"/>
  <c r="B76" i="10" l="1"/>
  <c r="D76" i="10"/>
  <c r="H9" i="10"/>
  <c r="H82" i="10" s="1"/>
  <c r="G82" i="10"/>
  <c r="I39" i="2"/>
  <c r="K39" i="2"/>
  <c r="J39" i="2"/>
  <c r="E76" i="10"/>
  <c r="H67" i="10"/>
  <c r="S36" i="2"/>
  <c r="F76" i="10"/>
  <c r="J37" i="2"/>
  <c r="H68" i="10"/>
  <c r="G76" i="10"/>
  <c r="C76" i="10"/>
  <c r="J36" i="2"/>
  <c r="K38" i="2"/>
  <c r="I38" i="2"/>
  <c r="J38" i="2"/>
  <c r="K37" i="2"/>
  <c r="H40" i="2"/>
  <c r="I37" i="2"/>
  <c r="I35" i="2"/>
  <c r="K36" i="2"/>
  <c r="I36" i="2"/>
  <c r="H76" i="10" l="1"/>
  <c r="H77" i="10" s="1"/>
  <c r="K40" i="2"/>
  <c r="I40" i="2"/>
  <c r="J40" i="2"/>
  <c r="G3" i="5" l="1"/>
  <c r="F3" i="5"/>
  <c r="E3" i="5"/>
  <c r="D3" i="5"/>
  <c r="C3" i="5"/>
  <c r="B3" i="5"/>
  <c r="C2" i="5" l="1"/>
  <c r="D3" i="3" s="1"/>
  <c r="D2" i="5"/>
  <c r="E3" i="3" s="1"/>
  <c r="E2" i="5"/>
  <c r="F3" i="3" s="1"/>
  <c r="F2" i="5"/>
  <c r="G3" i="3" s="1"/>
  <c r="G2" i="5"/>
  <c r="H3" i="3" s="1"/>
  <c r="H2" i="5"/>
  <c r="I3" i="3" s="1"/>
  <c r="B2" i="5"/>
  <c r="C3" i="3" s="1"/>
  <c r="C52" i="10"/>
  <c r="D52" i="10"/>
  <c r="E52" i="10"/>
  <c r="F52" i="10"/>
  <c r="G52" i="10"/>
  <c r="B52" i="10"/>
  <c r="C44" i="10"/>
  <c r="D44" i="10"/>
  <c r="E44" i="10"/>
  <c r="F44" i="10"/>
  <c r="G44" i="10"/>
  <c r="B44" i="10"/>
  <c r="H44" i="2"/>
  <c r="N25" i="2"/>
  <c r="N35" i="2" s="1"/>
  <c r="O25" i="2"/>
  <c r="O35" i="2" s="1"/>
  <c r="P25" i="2"/>
  <c r="P35" i="2" s="1"/>
  <c r="Q25" i="2"/>
  <c r="Q35" i="2" s="1"/>
  <c r="R25" i="2"/>
  <c r="R35" i="2" s="1"/>
  <c r="S25" i="2"/>
  <c r="S35" i="2" s="1"/>
  <c r="M25" i="2"/>
  <c r="M35" i="2" s="1"/>
  <c r="H25" i="2"/>
  <c r="A13" i="10" l="1"/>
  <c r="C14" i="10" l="1"/>
  <c r="D14" i="10"/>
  <c r="E14" i="10"/>
  <c r="F14" i="10"/>
  <c r="G14" i="10"/>
  <c r="H14" i="10"/>
  <c r="B14" i="10"/>
  <c r="I44" i="2" l="1"/>
  <c r="I25" i="2"/>
  <c r="Q65" i="10"/>
  <c r="B51" i="10"/>
  <c r="L54" i="10"/>
  <c r="L55" i="10" s="1"/>
  <c r="C51" i="10"/>
  <c r="L56" i="10" l="1"/>
  <c r="D51" i="10"/>
  <c r="A35" i="10"/>
  <c r="A36" i="10" s="1"/>
  <c r="A37" i="10" s="1"/>
  <c r="A38" i="10" s="1"/>
  <c r="A39" i="10" s="1"/>
  <c r="E51" i="10" l="1"/>
  <c r="L57" i="10"/>
  <c r="L58" i="10" l="1"/>
  <c r="F51" i="10"/>
  <c r="H44" i="10" l="1"/>
  <c r="H52" i="10"/>
  <c r="L59" i="10"/>
  <c r="G51" i="10"/>
  <c r="K46" i="2"/>
  <c r="J46" i="2"/>
  <c r="I46" i="2"/>
  <c r="K45" i="2"/>
  <c r="J45" i="2"/>
  <c r="I45" i="2"/>
  <c r="K30" i="2"/>
  <c r="J30" i="2"/>
  <c r="I30" i="2"/>
  <c r="K29" i="2"/>
  <c r="J29" i="2"/>
  <c r="I29" i="2"/>
  <c r="K28" i="2"/>
  <c r="J28" i="2"/>
  <c r="I28" i="2"/>
  <c r="K27" i="2"/>
  <c r="J27" i="2"/>
  <c r="I27" i="2"/>
  <c r="I3" i="2"/>
  <c r="H47" i="2"/>
  <c r="H49" i="2" s="1"/>
  <c r="H41" i="2"/>
  <c r="I13" i="3"/>
  <c r="I12" i="3"/>
  <c r="I10" i="3"/>
  <c r="I6" i="3"/>
  <c r="I15" i="3" l="1"/>
  <c r="S38" i="2"/>
  <c r="S39" i="2"/>
  <c r="S37" i="2"/>
  <c r="S29" i="2"/>
  <c r="I19" i="3"/>
  <c r="S30" i="2"/>
  <c r="S26" i="2"/>
  <c r="S27" i="2"/>
  <c r="S28" i="2"/>
  <c r="I16" i="3"/>
  <c r="I9" i="3"/>
  <c r="G6" i="5"/>
  <c r="G9" i="5" s="1"/>
  <c r="G7" i="8" s="1"/>
  <c r="F6" i="5"/>
  <c r="E6" i="5"/>
  <c r="E9" i="5" s="1"/>
  <c r="E7" i="8" s="1"/>
  <c r="D6" i="5"/>
  <c r="D9" i="5" s="1"/>
  <c r="D7" i="8" s="1"/>
  <c r="C6" i="5"/>
  <c r="D14" i="3" s="1"/>
  <c r="B6" i="5"/>
  <c r="B9" i="5" s="1"/>
  <c r="B7" i="8" s="1"/>
  <c r="H6" i="3"/>
  <c r="G6" i="3"/>
  <c r="F6" i="3"/>
  <c r="E6" i="3"/>
  <c r="D6" i="3"/>
  <c r="D15" i="3" s="1"/>
  <c r="C6" i="3"/>
  <c r="J26" i="2"/>
  <c r="N23" i="8"/>
  <c r="AD26" i="10"/>
  <c r="AD25" i="10"/>
  <c r="A23" i="10"/>
  <c r="D23" i="10" s="1"/>
  <c r="AD16" i="10"/>
  <c r="AD15" i="10"/>
  <c r="AD14" i="10"/>
  <c r="AD13" i="10"/>
  <c r="I9" i="10"/>
  <c r="G8" i="10"/>
  <c r="F8" i="10"/>
  <c r="E8" i="10"/>
  <c r="D8" i="10"/>
  <c r="C8" i="10"/>
  <c r="B8" i="10"/>
  <c r="A8" i="10"/>
  <c r="S3" i="10" s="1"/>
  <c r="AD6" i="10"/>
  <c r="AD5" i="10"/>
  <c r="A5" i="10"/>
  <c r="AD4" i="10"/>
  <c r="AA4" i="10"/>
  <c r="AA5" i="10" s="1"/>
  <c r="AA6" i="10" s="1"/>
  <c r="AA7" i="10" s="1"/>
  <c r="AA8" i="10" s="1"/>
  <c r="AA9" i="10" s="1"/>
  <c r="AA10" i="10" s="1"/>
  <c r="AA11" i="10" s="1"/>
  <c r="AA12" i="10" s="1"/>
  <c r="AA13" i="10" s="1"/>
  <c r="AA14" i="10" s="1"/>
  <c r="AA15" i="10" s="1"/>
  <c r="AA16" i="10" s="1"/>
  <c r="AA17" i="10" s="1"/>
  <c r="A4" i="10"/>
  <c r="B4" i="10" s="1"/>
  <c r="AD3" i="10"/>
  <c r="H8" i="10"/>
  <c r="F9" i="5" l="1"/>
  <c r="F7" i="8" s="1"/>
  <c r="H15" i="3"/>
  <c r="G15" i="3"/>
  <c r="S40" i="2"/>
  <c r="C15" i="3"/>
  <c r="C16" i="3"/>
  <c r="C9" i="3"/>
  <c r="E16" i="3"/>
  <c r="E15" i="3"/>
  <c r="F16" i="3"/>
  <c r="F15" i="3"/>
  <c r="M36" i="2"/>
  <c r="E9" i="3"/>
  <c r="M38" i="2"/>
  <c r="M37" i="2"/>
  <c r="M39" i="2"/>
  <c r="N38" i="2"/>
  <c r="N37" i="2"/>
  <c r="N39" i="2"/>
  <c r="N36" i="2"/>
  <c r="O38" i="2"/>
  <c r="O39" i="2"/>
  <c r="O37" i="2"/>
  <c r="O36" i="2"/>
  <c r="P37" i="2"/>
  <c r="P36" i="2"/>
  <c r="P39" i="2"/>
  <c r="P38" i="2"/>
  <c r="Q36" i="2"/>
  <c r="Q39" i="2"/>
  <c r="Q38" i="2"/>
  <c r="Q37" i="2"/>
  <c r="R39" i="2"/>
  <c r="R38" i="2"/>
  <c r="R36" i="2"/>
  <c r="R37" i="2"/>
  <c r="O26" i="2"/>
  <c r="H3" i="5"/>
  <c r="H6" i="5" s="1"/>
  <c r="F14" i="3"/>
  <c r="G4" i="3"/>
  <c r="C4" i="3"/>
  <c r="F4" i="3"/>
  <c r="C14" i="3"/>
  <c r="Q29" i="2"/>
  <c r="J31" i="2"/>
  <c r="I47" i="2"/>
  <c r="Q27" i="2"/>
  <c r="M29" i="2"/>
  <c r="N27" i="2"/>
  <c r="O27" i="2"/>
  <c r="K31" i="2"/>
  <c r="R28" i="2"/>
  <c r="N29" i="2"/>
  <c r="I26" i="2"/>
  <c r="I31" i="2"/>
  <c r="G9" i="3"/>
  <c r="K26" i="2"/>
  <c r="H14" i="3"/>
  <c r="S31" i="2"/>
  <c r="K47" i="2"/>
  <c r="I18" i="3"/>
  <c r="I17" i="3"/>
  <c r="G10" i="3"/>
  <c r="C12" i="3"/>
  <c r="Q28" i="2"/>
  <c r="J47" i="2"/>
  <c r="H51" i="10"/>
  <c r="I53" i="10" s="1"/>
  <c r="B27" i="10"/>
  <c r="B24" i="10"/>
  <c r="F33" i="10" s="1"/>
  <c r="B28" i="10"/>
  <c r="B25" i="10"/>
  <c r="B29" i="10"/>
  <c r="B26" i="10"/>
  <c r="E4" i="10"/>
  <c r="F4" i="10"/>
  <c r="C4" i="10"/>
  <c r="G4" i="10"/>
  <c r="D4" i="10"/>
  <c r="C5" i="10"/>
  <c r="G5" i="10"/>
  <c r="D5" i="10"/>
  <c r="E5" i="10"/>
  <c r="B5" i="10"/>
  <c r="F5" i="10"/>
  <c r="AD9" i="10"/>
  <c r="AD7" i="10"/>
  <c r="AD8" i="10"/>
  <c r="AD11" i="10"/>
  <c r="H4" i="10"/>
  <c r="AD10" i="10"/>
  <c r="AD12" i="10"/>
  <c r="H16" i="3"/>
  <c r="H4" i="3"/>
  <c r="H9" i="3"/>
  <c r="N28" i="2"/>
  <c r="M26" i="2"/>
  <c r="N26" i="2"/>
  <c r="M27" i="2"/>
  <c r="M30" i="2"/>
  <c r="N30" i="2"/>
  <c r="P30" i="2"/>
  <c r="M28" i="2"/>
  <c r="Q30" i="2"/>
  <c r="C5" i="3"/>
  <c r="C7" i="3" s="1"/>
  <c r="F5" i="3"/>
  <c r="F8" i="3" s="1"/>
  <c r="F12" i="3"/>
  <c r="E4" i="3"/>
  <c r="E14" i="3"/>
  <c r="H10" i="3"/>
  <c r="P26" i="2"/>
  <c r="E18" i="3"/>
  <c r="G18" i="3"/>
  <c r="D9" i="3"/>
  <c r="G16" i="3"/>
  <c r="D12" i="3"/>
  <c r="O28" i="2"/>
  <c r="C9" i="5"/>
  <c r="C7" i="8" s="1"/>
  <c r="E12" i="3"/>
  <c r="P27" i="2"/>
  <c r="P28" i="2"/>
  <c r="D4" i="3"/>
  <c r="F17" i="3"/>
  <c r="F10" i="3"/>
  <c r="D17" i="3"/>
  <c r="C19" i="3"/>
  <c r="C18" i="3"/>
  <c r="E5" i="3"/>
  <c r="AA18" i="10"/>
  <c r="AD17" i="10"/>
  <c r="D19" i="3"/>
  <c r="D18" i="3"/>
  <c r="G5" i="3"/>
  <c r="F18" i="3"/>
  <c r="F19" i="3"/>
  <c r="H5" i="3"/>
  <c r="C10" i="3"/>
  <c r="G12" i="3"/>
  <c r="Q26" i="2"/>
  <c r="O29" i="2"/>
  <c r="D10" i="3"/>
  <c r="H12" i="3"/>
  <c r="R26" i="2"/>
  <c r="R27" i="2"/>
  <c r="P29" i="2"/>
  <c r="O30" i="2"/>
  <c r="E10" i="3"/>
  <c r="R29" i="2"/>
  <c r="G14" i="3"/>
  <c r="C17" i="3"/>
  <c r="R30" i="2"/>
  <c r="F9" i="3"/>
  <c r="D16" i="3"/>
  <c r="H5" i="10"/>
  <c r="D7" i="10"/>
  <c r="S4" i="10"/>
  <c r="S9" i="10"/>
  <c r="S8" i="10"/>
  <c r="S6" i="10"/>
  <c r="S7" i="10"/>
  <c r="S10" i="10"/>
  <c r="S5" i="10"/>
  <c r="A1" i="10"/>
  <c r="B30" i="10"/>
  <c r="G8" i="3" l="1"/>
  <c r="R40" i="2"/>
  <c r="N40" i="2"/>
  <c r="M40" i="2"/>
  <c r="P40" i="2"/>
  <c r="O40" i="2"/>
  <c r="Q40" i="2"/>
  <c r="C8" i="3"/>
  <c r="I54" i="10"/>
  <c r="I55" i="10"/>
  <c r="H9" i="5"/>
  <c r="H7" i="8" s="1"/>
  <c r="I4" i="3"/>
  <c r="I14" i="3"/>
  <c r="F7" i="3"/>
  <c r="I58" i="10"/>
  <c r="I59" i="10"/>
  <c r="N31" i="2"/>
  <c r="Q31" i="2"/>
  <c r="M31" i="2"/>
  <c r="I56" i="10"/>
  <c r="I57" i="10"/>
  <c r="G35" i="10"/>
  <c r="E35" i="10" s="1"/>
  <c r="G38" i="10"/>
  <c r="D38" i="10" s="1"/>
  <c r="G36" i="10"/>
  <c r="G39" i="10"/>
  <c r="E39" i="10" s="1"/>
  <c r="G33" i="10"/>
  <c r="G34" i="10"/>
  <c r="G37" i="10"/>
  <c r="G17" i="3"/>
  <c r="G19" i="3"/>
  <c r="P31" i="2"/>
  <c r="R31" i="2"/>
  <c r="D5" i="3"/>
  <c r="E19" i="3"/>
  <c r="E17" i="3"/>
  <c r="O31" i="2"/>
  <c r="H7" i="3"/>
  <c r="H8" i="3"/>
  <c r="H17" i="3"/>
  <c r="H18" i="3"/>
  <c r="H19" i="3"/>
  <c r="D13" i="3"/>
  <c r="G7" i="3"/>
  <c r="AD18" i="10"/>
  <c r="AA19" i="10"/>
  <c r="E13" i="3"/>
  <c r="C13" i="3"/>
  <c r="E8" i="3"/>
  <c r="E7" i="3"/>
  <c r="T10" i="10"/>
  <c r="U10" i="10" s="1"/>
  <c r="T5" i="10"/>
  <c r="U5" i="10" s="1"/>
  <c r="T9" i="10"/>
  <c r="U9" i="10" s="1"/>
  <c r="T7" i="10"/>
  <c r="U7" i="10" s="1"/>
  <c r="T8" i="10"/>
  <c r="U8" i="10" s="1"/>
  <c r="T6" i="10"/>
  <c r="U6" i="10" s="1"/>
  <c r="T3" i="10"/>
  <c r="U3" i="10" s="1"/>
  <c r="A45" i="10" s="1"/>
  <c r="T4" i="10"/>
  <c r="U4" i="10" s="1"/>
  <c r="A46" i="10" s="1"/>
  <c r="J7" i="8" l="1"/>
  <c r="I7" i="8"/>
  <c r="K7" i="8"/>
  <c r="J55" i="10"/>
  <c r="I5" i="3"/>
  <c r="J58" i="10"/>
  <c r="J54" i="10"/>
  <c r="J53" i="10"/>
  <c r="J59" i="10"/>
  <c r="J57" i="10"/>
  <c r="J56" i="10"/>
  <c r="E38" i="10"/>
  <c r="D35" i="10"/>
  <c r="G13" i="3"/>
  <c r="B46" i="10"/>
  <c r="H46" i="10"/>
  <c r="G11" i="10"/>
  <c r="B11" i="10"/>
  <c r="H11" i="10"/>
  <c r="D46" i="10"/>
  <c r="C11" i="10"/>
  <c r="E46" i="10"/>
  <c r="D11" i="10"/>
  <c r="G46" i="10"/>
  <c r="E11" i="10"/>
  <c r="C46" i="10"/>
  <c r="F46" i="10"/>
  <c r="F11" i="10"/>
  <c r="B45" i="10"/>
  <c r="E45" i="10"/>
  <c r="H45" i="10"/>
  <c r="E10" i="10"/>
  <c r="F10" i="10"/>
  <c r="B10" i="10"/>
  <c r="D45" i="10"/>
  <c r="C10" i="10"/>
  <c r="G10" i="10"/>
  <c r="D10" i="10"/>
  <c r="H10" i="10"/>
  <c r="G45" i="10"/>
  <c r="F45" i="10"/>
  <c r="C45" i="10"/>
  <c r="E34" i="10"/>
  <c r="D34" i="10"/>
  <c r="B34" i="10" s="1"/>
  <c r="D7" i="3"/>
  <c r="D8" i="3"/>
  <c r="F13" i="3"/>
  <c r="AA20" i="10"/>
  <c r="AD19" i="10"/>
  <c r="H13" i="3"/>
  <c r="A11" i="10"/>
  <c r="A84" i="10" s="1"/>
  <c r="A10" i="10"/>
  <c r="A83" i="10" s="1"/>
  <c r="D39" i="10"/>
  <c r="E37" i="10"/>
  <c r="D37" i="10"/>
  <c r="E36" i="10"/>
  <c r="D36" i="10"/>
  <c r="H86" i="10" l="1"/>
  <c r="H84" i="10" s="1"/>
  <c r="D86" i="10"/>
  <c r="D84" i="10" s="1"/>
  <c r="G86" i="10"/>
  <c r="G83" i="10" s="1"/>
  <c r="C86" i="10"/>
  <c r="C84" i="10" s="1"/>
  <c r="B86" i="10"/>
  <c r="B84" i="10" s="1"/>
  <c r="F86" i="10"/>
  <c r="F84" i="10" s="1"/>
  <c r="E86" i="10"/>
  <c r="E84" i="10" s="1"/>
  <c r="G47" i="10"/>
  <c r="I8" i="3"/>
  <c r="I7" i="3"/>
  <c r="N53" i="10"/>
  <c r="Q53" i="10" s="1"/>
  <c r="N54" i="10"/>
  <c r="Q54" i="10" s="1"/>
  <c r="N55" i="10"/>
  <c r="Q55" i="10" s="1"/>
  <c r="N59" i="10"/>
  <c r="Q59" i="10" s="1"/>
  <c r="N57" i="10"/>
  <c r="Q57" i="10" s="1"/>
  <c r="N56" i="10"/>
  <c r="Q56" i="10" s="1"/>
  <c r="N58" i="10"/>
  <c r="Q58" i="10" s="1"/>
  <c r="E47" i="10"/>
  <c r="D47" i="10"/>
  <c r="H47" i="10"/>
  <c r="F47" i="10"/>
  <c r="B47" i="10"/>
  <c r="C47" i="10"/>
  <c r="I10" i="10"/>
  <c r="B35" i="10"/>
  <c r="B36" i="10" s="1"/>
  <c r="B37" i="10" s="1"/>
  <c r="B38" i="10" s="1"/>
  <c r="B39" i="10" s="1"/>
  <c r="AD20" i="10"/>
  <c r="AA21" i="10"/>
  <c r="A7" i="10"/>
  <c r="G84" i="10" l="1"/>
  <c r="F83" i="10"/>
  <c r="E83" i="10"/>
  <c r="B83" i="10"/>
  <c r="D83" i="10"/>
  <c r="H83" i="10"/>
  <c r="C83" i="10"/>
  <c r="Q60" i="10"/>
  <c r="Q63" i="10" s="1"/>
  <c r="C40" i="10"/>
  <c r="AA22" i="10"/>
  <c r="AD21" i="10"/>
  <c r="AA23" i="10" l="1"/>
  <c r="AD22" i="10"/>
  <c r="R53" i="10"/>
  <c r="R59" i="10"/>
  <c r="R55" i="10"/>
  <c r="R54" i="10"/>
  <c r="R57" i="10"/>
  <c r="R58" i="10"/>
  <c r="R56" i="10"/>
  <c r="AA24" i="10" l="1"/>
  <c r="AD23" i="10"/>
  <c r="I11" i="10"/>
  <c r="AA25" i="10" l="1"/>
  <c r="AA26" i="10" s="1"/>
  <c r="AA27" i="10" s="1"/>
  <c r="AD24" i="10"/>
  <c r="AE8" i="10" s="1"/>
  <c r="AF8" i="10" s="1"/>
  <c r="AE11" i="10"/>
  <c r="AF11" i="10" s="1"/>
  <c r="AG11" i="10" s="1"/>
  <c r="AE14" i="10" l="1"/>
  <c r="AF14" i="10" s="1"/>
  <c r="AE26" i="10"/>
  <c r="AE20" i="10"/>
  <c r="AF20" i="10" s="1"/>
  <c r="AE4" i="10"/>
  <c r="AF4" i="10" s="1"/>
  <c r="AE18" i="10"/>
  <c r="AF18" i="10" s="1"/>
  <c r="AE19" i="10"/>
  <c r="AF19" i="10" s="1"/>
  <c r="AE23" i="10"/>
  <c r="A21" i="10"/>
  <c r="H21" i="10" s="1"/>
  <c r="AG8" i="10"/>
  <c r="AE5" i="10"/>
  <c r="AF5" i="10" s="1"/>
  <c r="AE25" i="10"/>
  <c r="AE3" i="10"/>
  <c r="AF3" i="10" s="1"/>
  <c r="AE13" i="10"/>
  <c r="AF13" i="10" s="1"/>
  <c r="AG13" i="10" s="1"/>
  <c r="AE10" i="10"/>
  <c r="AF10" i="10" s="1"/>
  <c r="AG10" i="10" s="1"/>
  <c r="AE9" i="10"/>
  <c r="AF9" i="10" s="1"/>
  <c r="AE16" i="10"/>
  <c r="AF16" i="10" s="1"/>
  <c r="AE6" i="10"/>
  <c r="AF6" i="10" s="1"/>
  <c r="AE17" i="10"/>
  <c r="AF17" i="10" s="1"/>
  <c r="AE7" i="10"/>
  <c r="AF7" i="10" s="1"/>
  <c r="AE24" i="10"/>
  <c r="AG4" i="10"/>
  <c r="A17" i="10"/>
  <c r="B17" i="10" s="1"/>
  <c r="AE21" i="10"/>
  <c r="AF21" i="10" s="1"/>
  <c r="AE12" i="10"/>
  <c r="AF12" i="10" s="1"/>
  <c r="AG12" i="10" s="1"/>
  <c r="AE15" i="10"/>
  <c r="AF15" i="10" s="1"/>
  <c r="AE22" i="10"/>
  <c r="AF22" i="10" s="1"/>
  <c r="D21" i="10"/>
  <c r="E21" i="10"/>
  <c r="B21" i="10"/>
  <c r="C21" i="10"/>
  <c r="F21" i="10"/>
  <c r="A19" i="10" l="1"/>
  <c r="AG6" i="10"/>
  <c r="AG9" i="10"/>
  <c r="A22" i="10"/>
  <c r="AG3" i="10"/>
  <c r="A16" i="10"/>
  <c r="E17" i="10"/>
  <c r="G17" i="10"/>
  <c r="H17" i="10"/>
  <c r="F17" i="10"/>
  <c r="D17" i="10"/>
  <c r="A20" i="10"/>
  <c r="AG7" i="10"/>
  <c r="A18" i="10"/>
  <c r="AG5" i="10"/>
  <c r="E18" i="10" l="1"/>
  <c r="G18" i="10"/>
  <c r="H18" i="10"/>
  <c r="D18" i="10"/>
  <c r="B18" i="10"/>
  <c r="F18" i="10"/>
  <c r="B16" i="10"/>
  <c r="F16" i="10"/>
  <c r="H16" i="10"/>
  <c r="E16" i="10"/>
  <c r="G16" i="10"/>
  <c r="C16" i="10"/>
  <c r="AH13" i="10"/>
  <c r="AI13" i="10" s="1"/>
  <c r="AH9" i="10"/>
  <c r="AI9" i="10" s="1"/>
  <c r="AH3" i="10"/>
  <c r="AI3" i="10" s="1"/>
  <c r="D16" i="10" s="1"/>
  <c r="AH11" i="10"/>
  <c r="AI11" i="10" s="1"/>
  <c r="AH6" i="10"/>
  <c r="AI6" i="10" s="1"/>
  <c r="E19" i="10" s="1"/>
  <c r="AH12" i="10"/>
  <c r="AI12" i="10" s="1"/>
  <c r="AH7" i="10"/>
  <c r="AI7" i="10" s="1"/>
  <c r="D20" i="10" s="1"/>
  <c r="AH4" i="10"/>
  <c r="AI4" i="10" s="1"/>
  <c r="C17" i="10" s="1"/>
  <c r="I17" i="10" s="1"/>
  <c r="AH5" i="10"/>
  <c r="AI5" i="10" s="1"/>
  <c r="C18" i="10" s="1"/>
  <c r="AH8" i="10"/>
  <c r="AI8" i="10" s="1"/>
  <c r="G21" i="10" s="1"/>
  <c r="I21" i="10" s="1"/>
  <c r="AH10" i="10"/>
  <c r="AI10" i="10" s="1"/>
  <c r="H20" i="10"/>
  <c r="F20" i="10"/>
  <c r="B20" i="10"/>
  <c r="C20" i="10"/>
  <c r="E20" i="10"/>
  <c r="G20" i="10"/>
  <c r="H22" i="10"/>
  <c r="F22" i="10"/>
  <c r="B22" i="10"/>
  <c r="E22" i="10"/>
  <c r="D22" i="10"/>
  <c r="C22" i="10"/>
  <c r="G22" i="10"/>
  <c r="H19" i="10"/>
  <c r="C19" i="10"/>
  <c r="G19" i="10"/>
  <c r="D19" i="10"/>
  <c r="F19" i="10"/>
  <c r="B19" i="10"/>
  <c r="I22" i="10" l="1"/>
  <c r="I16" i="10"/>
  <c r="I18" i="10"/>
  <c r="I19" i="10"/>
  <c r="I20" i="10"/>
  <c r="J19" i="10" l="1"/>
  <c r="J18" i="10"/>
  <c r="J20" i="10"/>
  <c r="J17" i="10"/>
  <c r="J16" i="10"/>
  <c r="J21" i="10"/>
  <c r="J22" i="10"/>
  <c r="N19" i="10" l="1"/>
  <c r="Q19" i="10" s="1"/>
  <c r="N17" i="10"/>
  <c r="Q17" i="10" s="1"/>
  <c r="N20" i="10"/>
  <c r="Q20" i="10" s="1"/>
  <c r="N22" i="10"/>
  <c r="Q22" i="10" s="1"/>
  <c r="N18" i="10"/>
  <c r="Q18" i="10" s="1"/>
  <c r="N16" i="10"/>
  <c r="Q16" i="10" s="1"/>
  <c r="N21" i="10"/>
  <c r="Q21" i="10" s="1"/>
  <c r="Q23" i="10" l="1"/>
  <c r="R17" i="10" s="1"/>
  <c r="N23" i="10" l="1"/>
  <c r="R19" i="10"/>
  <c r="R18" i="10"/>
  <c r="R20" i="10"/>
  <c r="R16" i="10"/>
  <c r="R21" i="10"/>
  <c r="R22" i="10"/>
</calcChain>
</file>

<file path=xl/sharedStrings.xml><?xml version="1.0" encoding="utf-8"?>
<sst xmlns="http://schemas.openxmlformats.org/spreadsheetml/2006/main" count="416" uniqueCount="292">
  <si>
    <t>Indicator</t>
  </si>
  <si>
    <t>Imobilizari corporale</t>
  </si>
  <si>
    <t>Investitii imobiliare</t>
  </si>
  <si>
    <t>Imobilizari necorporale</t>
  </si>
  <si>
    <t>Active financiare</t>
  </si>
  <si>
    <t>Creante comerciale si alte creante</t>
  </si>
  <si>
    <t>Total activ</t>
  </si>
  <si>
    <t>Capital social</t>
  </si>
  <si>
    <t>Prime de capital</t>
  </si>
  <si>
    <t>Rezerve</t>
  </si>
  <si>
    <t>Rezultat reportat</t>
  </si>
  <si>
    <t>Imprumuturi</t>
  </si>
  <si>
    <t>Leasinguri financiare si alte datorii purtatoare de dobanda</t>
  </si>
  <si>
    <t>Total datorii</t>
  </si>
  <si>
    <t>Total capitaluri si datorii</t>
  </si>
  <si>
    <t>Profit (pierdere) inaintea impozitarii</t>
  </si>
  <si>
    <t>Impozit pe profit</t>
  </si>
  <si>
    <t>Profit (pierdere) net</t>
  </si>
  <si>
    <t>Pierderi din reevaluarea imobilizarilor corporale</t>
  </si>
  <si>
    <t>Ajustare impozit amanat aferent rezervelor din reevaluare nedeductibile fiscal</t>
  </si>
  <si>
    <t>Total rezultat global</t>
  </si>
  <si>
    <t>Venituri din dobanzi</t>
  </si>
  <si>
    <t>Detalii indicator "Vanzari nete"</t>
  </si>
  <si>
    <t>Alte venituri</t>
  </si>
  <si>
    <t>© ROMCARBON SA</t>
  </si>
  <si>
    <t>EBITDA</t>
  </si>
  <si>
    <t>Formula</t>
  </si>
  <si>
    <t>EBITDA in total vanzari</t>
  </si>
  <si>
    <t>EBITDA in capitaluri proprii</t>
  </si>
  <si>
    <t>Rata profitului brut</t>
  </si>
  <si>
    <t>Cifra de afaceri</t>
  </si>
  <si>
    <t>Indicatorul lichiditatii curente</t>
  </si>
  <si>
    <t>Indicatorul lichiditatii imediate(testul acid)</t>
  </si>
  <si>
    <t>Indicatorul gradului de indatorare(1)</t>
  </si>
  <si>
    <t>Indicatorul gradului de indatorare(2)</t>
  </si>
  <si>
    <t>Rata de acoperire a dobanzii</t>
  </si>
  <si>
    <t>Viteza de rotatie a creantelor comerciale</t>
  </si>
  <si>
    <t>Viteza de rotatie a datoriilor comerciale</t>
  </si>
  <si>
    <t>Rata rentabilitatii economice(ROA)</t>
  </si>
  <si>
    <t>Rata rentabilitatii financiare(ROE)</t>
  </si>
  <si>
    <t>Rata rentabilitatii comerciale(ROS)</t>
  </si>
  <si>
    <t>EBITDA/Cifra de afaceri</t>
  </si>
  <si>
    <t>EBITDA/Capitaluri</t>
  </si>
  <si>
    <t>Profit brut/Cifra de afaceri</t>
  </si>
  <si>
    <t>Active curente/Datorii curente</t>
  </si>
  <si>
    <t>(Active curente-Stocuri)/Datorii curente</t>
  </si>
  <si>
    <t>Datorii pe termen lung/Capitaluri</t>
  </si>
  <si>
    <t>Total datorii/Total active</t>
  </si>
  <si>
    <t>EBIT/Cheltuieli cu dobanzile</t>
  </si>
  <si>
    <t>EBIT</t>
  </si>
  <si>
    <t>Sold mediu creante comerciale/Cifra de afaceri</t>
  </si>
  <si>
    <t>Sold mediu datorii comerciale/Cifra de afaceri</t>
  </si>
  <si>
    <t>Rezultat net/Active totale</t>
  </si>
  <si>
    <t>Rezultat net/Capitaluri</t>
  </si>
  <si>
    <t>Rezultat net/Cifra de afaceri</t>
  </si>
  <si>
    <t xml:space="preserve">Profit net </t>
  </si>
  <si>
    <t>Cheltuieli cu impozitul pe profit (+)</t>
  </si>
  <si>
    <t>Cheltuieli cu dobanzile (+)</t>
  </si>
  <si>
    <t>Cheltuieli cu amortizarea (+)</t>
  </si>
  <si>
    <t>Venituri din subventii pentru investitii (-)</t>
  </si>
  <si>
    <t>Vezi pagina EBIT-EBITDA</t>
  </si>
  <si>
    <t>Vanzari nete + Venituri din chirii</t>
  </si>
  <si>
    <t>Crestere neta a numerarului si a echivalentelor de numerar</t>
  </si>
  <si>
    <t>Efectul ratei de schimb asupra soldului de numerar in valute</t>
  </si>
  <si>
    <t>Numerar si echivalente de numerar la sfarsitul anului financiar</t>
  </si>
  <si>
    <t>Indicatori</t>
  </si>
  <si>
    <t>Numerar si echivalente de numerar la începutul anului financiar</t>
  </si>
  <si>
    <t>Fax: +40(0)238 710 697</t>
  </si>
  <si>
    <t>investor.relations@romcarbon.com</t>
  </si>
  <si>
    <t>List1</t>
  </si>
  <si>
    <t>List2</t>
  </si>
  <si>
    <t>List3</t>
  </si>
  <si>
    <t>Start</t>
  </si>
  <si>
    <t>Base</t>
  </si>
  <si>
    <t>End</t>
  </si>
  <si>
    <t>Down</t>
  </si>
  <si>
    <t>Up</t>
  </si>
  <si>
    <t>Net</t>
  </si>
  <si>
    <t>Ponderi in vanzari nete</t>
  </si>
  <si>
    <t>Profit net</t>
  </si>
  <si>
    <t>Active pe termen lung</t>
  </si>
  <si>
    <t>Active curente</t>
  </si>
  <si>
    <t>Capitaluri</t>
  </si>
  <si>
    <t>Total Datorii</t>
  </si>
  <si>
    <t>Nota: In EBIT si EBITDA sunt incluse si elemente nerecurente cum ar fi dividendele, vanzari de active, altele.</t>
  </si>
  <si>
    <t xml:space="preserve">Vanzari nete </t>
  </si>
  <si>
    <t>Datorii pe termen lung</t>
  </si>
  <si>
    <t>Datorii curente</t>
  </si>
  <si>
    <t>Datorii</t>
  </si>
  <si>
    <t>Active</t>
  </si>
  <si>
    <t>Imprumuturi TS</t>
  </si>
  <si>
    <t>Imprumuturi TL</t>
  </si>
  <si>
    <t>In acest fisier toate sumele sunt exprimate in lei.</t>
  </si>
  <si>
    <t>Str.Transilvaniei, nr.132, Buzau</t>
  </si>
  <si>
    <t>Cod postal: 120012</t>
  </si>
  <si>
    <t>Tel: +40(0)238 711 155</t>
  </si>
  <si>
    <t xml:space="preserve"> - Vanzari de semifabricate</t>
  </si>
  <si>
    <t xml:space="preserve"> - Servicii prestate</t>
  </si>
  <si>
    <t xml:space="preserve"> - Vanzari de marfuri</t>
  </si>
  <si>
    <t xml:space="preserve"> - Venituri din diverse activitati</t>
  </si>
  <si>
    <t>Venituri din inchirieri</t>
  </si>
  <si>
    <t xml:space="preserve">Venituri financiare (dividende) - Total Commercial Management </t>
  </si>
  <si>
    <t xml:space="preserve">Venituri financiare (dividende) - Recyplat </t>
  </si>
  <si>
    <t xml:space="preserve">Venituri financiare (dividende) - Yenki </t>
  </si>
  <si>
    <t xml:space="preserve">Venituri financiare (dividende) - Infotech Solutions </t>
  </si>
  <si>
    <t>Venituri financiare (dividende) - RC Energo Install</t>
  </si>
  <si>
    <t xml:space="preserve">Venituri financiare (dividende) - LivingJumbo Industry </t>
  </si>
  <si>
    <t>Capitaluri&amp;datoriii</t>
  </si>
  <si>
    <t>Sursa datelor o reprezinta situatiile financiare ale companiei.</t>
  </si>
  <si>
    <t>An</t>
  </si>
  <si>
    <t>Date</t>
  </si>
  <si>
    <t>Rank</t>
  </si>
  <si>
    <t>Pozitie</t>
  </si>
  <si>
    <t>Center</t>
  </si>
  <si>
    <t>Value</t>
  </si>
  <si>
    <t>%</t>
  </si>
  <si>
    <t>CP1</t>
  </si>
  <si>
    <t>CP2</t>
  </si>
  <si>
    <t>CP3</t>
  </si>
  <si>
    <t>CP4</t>
  </si>
  <si>
    <t>CP5</t>
  </si>
  <si>
    <t>CP6</t>
  </si>
  <si>
    <t>CP7</t>
  </si>
  <si>
    <t>www.romcarbon.com</t>
  </si>
  <si>
    <t>EBITDA Operational</t>
  </si>
  <si>
    <t>Grad indatorare</t>
  </si>
  <si>
    <t>Lichiditate curenta</t>
  </si>
  <si>
    <r>
      <t xml:space="preserve">Nota: </t>
    </r>
    <r>
      <rPr>
        <b/>
        <u/>
        <sz val="11"/>
        <color theme="1"/>
        <rFont val="Candara"/>
        <family val="2"/>
      </rPr>
      <t>EBITDA</t>
    </r>
    <r>
      <rPr>
        <sz val="11"/>
        <color theme="1"/>
        <rFont val="Candara"/>
        <family val="2"/>
      </rPr>
      <t xml:space="preserve"> e calculat pornind de la rezultatul net si include si elemente nerecurente cum ar fi dividendele, vanzari de active, altele.</t>
    </r>
  </si>
  <si>
    <r>
      <rPr>
        <b/>
        <u/>
        <sz val="11"/>
        <color theme="1"/>
        <rFont val="Candara"/>
        <family val="2"/>
      </rPr>
      <t>EBITDA operational</t>
    </r>
    <r>
      <rPr>
        <sz val="11"/>
        <color theme="1"/>
        <rFont val="Candara"/>
        <family val="2"/>
      </rPr>
      <t xml:space="preserve"> ia in calcul doar activitatea de exploatare, excluzand cheltuiala cu amortizarea, vanzarile de active, elementele nerecurente si activitatea financiara.</t>
    </r>
  </si>
  <si>
    <t>Gruparea indicatorului "Vanzari nete" pe domenii de activitate</t>
  </si>
  <si>
    <t>Sectorul mase plastice  (polistiren, polietilena, polipropilena)</t>
  </si>
  <si>
    <t>Sectorul Polimeri reciclati si compounduri</t>
  </si>
  <si>
    <t xml:space="preserve">Alte activitati </t>
  </si>
  <si>
    <t>Alte sectoare productive (filtre auto si industriale,carbune activ, materiale de protecti, suporti indicatoare auto)</t>
  </si>
  <si>
    <t>Selecteaza anul &gt;&gt;&gt;</t>
  </si>
  <si>
    <t>Selecteaza categoria &gt;&gt;&gt;</t>
  </si>
  <si>
    <t>Mase plastice</t>
  </si>
  <si>
    <t>Polimeri reciclati si compounduri</t>
  </si>
  <si>
    <t>Alte sectoare productive</t>
  </si>
  <si>
    <t>Alte activitati</t>
  </si>
  <si>
    <t>Selecteaza indicatorul &gt;&gt;&gt;</t>
  </si>
  <si>
    <t xml:space="preserve">Selecteaza al doilea element de comparatie &gt;&gt; </t>
  </si>
  <si>
    <t>Selecteaza primul element de comparatie &gt;&gt;</t>
  </si>
  <si>
    <t xml:space="preserve">Total </t>
  </si>
  <si>
    <t xml:space="preserve">Stocuri </t>
  </si>
  <si>
    <t xml:space="preserve">Impozite de recuperat </t>
  </si>
  <si>
    <t>Alte active financiare curente</t>
  </si>
  <si>
    <t>Alte active nefinanciare curente</t>
  </si>
  <si>
    <t xml:space="preserve">Numerar si echivalente de numerar </t>
  </si>
  <si>
    <t>Active imobilizante detinute in vederea vanzarii</t>
  </si>
  <si>
    <t>Alte provizioane</t>
  </si>
  <si>
    <t xml:space="preserve">Datorii privind impozitul amanat </t>
  </si>
  <si>
    <t>Alte datorii financiare imobilizate</t>
  </si>
  <si>
    <t xml:space="preserve">Venituri in avans </t>
  </si>
  <si>
    <t xml:space="preserve">Datorii comerciale </t>
  </si>
  <si>
    <t>Alte datorii financiare curente</t>
  </si>
  <si>
    <t>Alte datorii nefinanciare curente</t>
  </si>
  <si>
    <t>Venituri</t>
  </si>
  <si>
    <t xml:space="preserve">Variatia stocurilor </t>
  </si>
  <si>
    <t xml:space="preserve">Cheltuieli cu materiile prime si consumabile </t>
  </si>
  <si>
    <t xml:space="preserve">Cheltuieli cu salariile si beneficiile angajatilor </t>
  </si>
  <si>
    <t xml:space="preserve">Cheltuieli cu deprecierea si amortizarea activelor </t>
  </si>
  <si>
    <t>Cheltuieli operationale</t>
  </si>
  <si>
    <t xml:space="preserve">Alte castiguri sau pierderi </t>
  </si>
  <si>
    <t>Profit (pierdere) din activitati operationale</t>
  </si>
  <si>
    <t>Venituri financiare</t>
  </si>
  <si>
    <t>Cheltuieli financiare</t>
  </si>
  <si>
    <t>Cheltuieli cu deprecierea activelor financiare</t>
  </si>
  <si>
    <t>Detalii indicator "Ale venituri"</t>
  </si>
  <si>
    <t>Detalii indicator "Venituri financiare"</t>
  </si>
  <si>
    <t>Venituri din subventii pentru investitii</t>
  </si>
  <si>
    <t>Nota: Din anul 2020 a fost schimbat formatul situatiilor financiare.  Anii anteriori sunt prezentati conform noului format.</t>
  </si>
  <si>
    <t>Alte datorii financiare pe termen lung</t>
  </si>
  <si>
    <r>
      <rPr>
        <b/>
        <u/>
        <sz val="11"/>
        <color theme="2" tint="-0.89999084444715716"/>
        <rFont val="Candara"/>
        <family val="2"/>
      </rPr>
      <t>Nota:</t>
    </r>
    <r>
      <rPr>
        <b/>
        <sz val="11"/>
        <color theme="2" tint="-0.89999084444715716"/>
        <rFont val="Candara"/>
        <family val="2"/>
      </rPr>
      <t xml:space="preserve"> </t>
    </r>
    <r>
      <rPr>
        <i/>
        <sz val="11"/>
        <color theme="2" tint="-0.89999084444715716"/>
        <rFont val="Candara"/>
        <family val="2"/>
      </rPr>
      <t>Acest document a fost pregatit in scop informativ.</t>
    </r>
    <r>
      <rPr>
        <b/>
        <sz val="11"/>
        <color theme="2" tint="-0.89999084444715716"/>
        <rFont val="Candara"/>
        <family val="2"/>
      </rPr>
      <t xml:space="preserve">
</t>
    </r>
  </si>
  <si>
    <t>Castig din diferente de curs valutar</t>
  </si>
  <si>
    <t>Venituri din dividende</t>
  </si>
  <si>
    <t xml:space="preserve"> - Vanzari de produse finite</t>
  </si>
  <si>
    <t>Profitul net fara impactul vanzarii detinerii din Green-Group</t>
  </si>
  <si>
    <t>Numerar net generat/utilizat de activitati operationale</t>
  </si>
  <si>
    <t>Numerar net generat/utilizat în activitati de investitii</t>
  </si>
  <si>
    <t>Numerar net generat de/utilizat in activitati de finantare</t>
  </si>
  <si>
    <t>In total  [2023]</t>
  </si>
  <si>
    <t>Venituri din investitii financiare</t>
  </si>
  <si>
    <t>DATE FINANCIARE INDIVIDUALE ANUALE DIN 2017 (IFRS - UE)</t>
  </si>
  <si>
    <t>*In luna Decembrie 2022 Grupul a vandut detinerea financiara in Green-Group</t>
  </si>
  <si>
    <t>Cheltuieli asociate vanzarii detinerii din Green-Group*</t>
  </si>
  <si>
    <t>Alte datorii financiare pe termen lung, detalii:</t>
  </si>
  <si>
    <t>Alte datorii financiare curente, detalii:</t>
  </si>
  <si>
    <t>Profitul net al anului</t>
  </si>
  <si>
    <t xml:space="preserve">Net profit / (loss) after taxation </t>
  </si>
  <si>
    <t>Cheltuieli cu impozitul pe profit</t>
  </si>
  <si>
    <t xml:space="preserve">Income tax expense </t>
  </si>
  <si>
    <t>Amortizarea /depreciere a activelor pe termen lung</t>
  </si>
  <si>
    <t>Depreciation</t>
  </si>
  <si>
    <t>(Castig)/pierdere din vanzarea activelor fixe</t>
  </si>
  <si>
    <t>(Gain) / Loss on fixed assets disposal</t>
  </si>
  <si>
    <t xml:space="preserve"> (Castig)/pierdere din modificarea valorii juste a investitiilor imobiliare </t>
  </si>
  <si>
    <t>(Gain) / Loss arising on changes in fair value of investment property</t>
  </si>
  <si>
    <t xml:space="preserve"> (Castig)/pierdere din modificarea valorii juste a activelor detinute spre vanzare</t>
  </si>
  <si>
    <t>(Gain) / Loss arising on changes in fair value of Assets Held for Sale</t>
  </si>
  <si>
    <t>(Castig) / Pierdere din reevaluarea imobilizarilor corporale</t>
  </si>
  <si>
    <t>(Gain) / Loss from revaluation of fixed assets</t>
  </si>
  <si>
    <t xml:space="preserve"> (Castig)/pierdere  din vanzarea investitiilor imobiliare </t>
  </si>
  <si>
    <t>(Gain) / Loss arising disposal of investment property</t>
  </si>
  <si>
    <t xml:space="preserve"> (Castig)/pierdere  din vanzarea activelor detinute spre vanzare</t>
  </si>
  <si>
    <t>(Gain) / Loss arising disposal of Assets Held for Sale</t>
  </si>
  <si>
    <t>Cheltuieli/venituri privind provizioanele pentru  clienti</t>
  </si>
  <si>
    <t>Customers provisions</t>
  </si>
  <si>
    <t>Cheltuieli/ venituri din creante</t>
  </si>
  <si>
    <t>Castig din constructia interna a mijloacelor fixe</t>
  </si>
  <si>
    <t>Gains on internal set-up of fixed assets</t>
  </si>
  <si>
    <t>Castig/Pierdere din cedarea activelor financiare</t>
  </si>
  <si>
    <t>(Gains) / Losses with disposal of financial assets</t>
  </si>
  <si>
    <t>Cheltuieli/venituri privind provizioanele pentru investitii financiare</t>
  </si>
  <si>
    <t>Expenses / revenues with adjustments of financial assets</t>
  </si>
  <si>
    <t>Cheltuieli/venituri privind provizioanele pentru riscuri si cheltuieli</t>
  </si>
  <si>
    <t>Expenses / revenues with the provisions for risks and expenses</t>
  </si>
  <si>
    <t>Cheltuieli cu dobanda</t>
  </si>
  <si>
    <t>Interest expense</t>
  </si>
  <si>
    <t>Interest income</t>
  </si>
  <si>
    <t>Dividend income</t>
  </si>
  <si>
    <t>Venituri din subventii</t>
  </si>
  <si>
    <t>Income from subsidies</t>
  </si>
  <si>
    <t>Castig/Pierdere nerealizat/a din diferente de curs</t>
  </si>
  <si>
    <t>Unrealised net forex result</t>
  </si>
  <si>
    <t>Miscari în capitalul circulant</t>
  </si>
  <si>
    <t>Movements in working capital</t>
  </si>
  <si>
    <t>(Crestere)/ (descrestere) creante comerciale si alte creante</t>
  </si>
  <si>
    <t>(Increase) / Decrease in accounts receivable</t>
  </si>
  <si>
    <t>(Crestere)/ (descrestere)stocuri</t>
  </si>
  <si>
    <t>(Increase) / Decrease in inventories</t>
  </si>
  <si>
    <t>(Cresteri)/  (descresteri) in alte active</t>
  </si>
  <si>
    <t>(Increase) / Decrease in other assets</t>
  </si>
  <si>
    <t>Crestere / (descrestere) datorii comerciale</t>
  </si>
  <si>
    <t>Increase / (Decrease) in accounts payable</t>
  </si>
  <si>
    <t>Crestere / (descrestere) venituri inregistrate in avans</t>
  </si>
  <si>
    <t>(Decrease) / Increase in deferred revenue</t>
  </si>
  <si>
    <t>Crestere / (descrestere) alte datorii</t>
  </si>
  <si>
    <t>(Decrease)/increase in other liabilities</t>
  </si>
  <si>
    <t>Numerar generat/ utilizat din activitati operationale</t>
  </si>
  <si>
    <t>Cash generated from operations</t>
  </si>
  <si>
    <t>Impozit pe profit platit</t>
  </si>
  <si>
    <t>Income taxes paid</t>
  </si>
  <si>
    <t>Dobanzi platite</t>
  </si>
  <si>
    <t>Interest paid</t>
  </si>
  <si>
    <t>Net cash generated/used by operating activities</t>
  </si>
  <si>
    <t>Fluxuri de numerar din activitati de investitii</t>
  </si>
  <si>
    <t>Cash flows from investing activities</t>
  </si>
  <si>
    <t>Plati aferente imobilizarilor financiare</t>
  </si>
  <si>
    <t>Payments to acquire financial assets</t>
  </si>
  <si>
    <t>Dobanzi încasate</t>
  </si>
  <si>
    <t>Interest received</t>
  </si>
  <si>
    <t>Dividende primite</t>
  </si>
  <si>
    <t>Dividends received</t>
  </si>
  <si>
    <t xml:space="preserve">Plati aferente imobilizarilor corporale </t>
  </si>
  <si>
    <t>Payments for property, plant and equipment</t>
  </si>
  <si>
    <t>Plati aferente investitiilor imobiliare</t>
  </si>
  <si>
    <t>Payments for investment property</t>
  </si>
  <si>
    <t>Incasari din vanzarea investitiilor imobiliare</t>
  </si>
  <si>
    <t>Proceeds from disposal of investment property</t>
  </si>
  <si>
    <t>Încasari din vanzarea de imobilizari corporale</t>
  </si>
  <si>
    <t>Proceeds from disposal of property, plant and equipment</t>
  </si>
  <si>
    <t>Plati aferente activelelor detinute spre vanzare</t>
  </si>
  <si>
    <t>Payments for assets held for sale</t>
  </si>
  <si>
    <t>Încasari din vanzarea activelor detinute spre vanzare</t>
  </si>
  <si>
    <t>Proceeds from disposal of Assets Held for Sale</t>
  </si>
  <si>
    <t xml:space="preserve"> Încasari din vanzarea investitiilor </t>
  </si>
  <si>
    <t>Proceeds from disposal of investments</t>
  </si>
  <si>
    <t>Incasari din subventii</t>
  </si>
  <si>
    <t>Proceeds from subsidies</t>
  </si>
  <si>
    <t xml:space="preserve"> Incasari/rambursari de imprumuturi parti afiliate </t>
  </si>
  <si>
    <t>Proceeds from loans granted to related parties</t>
  </si>
  <si>
    <t>Plati aferente activelor financiare</t>
  </si>
  <si>
    <t>Payments for financial assets</t>
  </si>
  <si>
    <t>Plati aferente activelor necorporale</t>
  </si>
  <si>
    <t>Payments for intangible assets</t>
  </si>
  <si>
    <t>Net cash generated by/used in investing activities</t>
  </si>
  <si>
    <t>Fluxuri de numerar din activitati de finantare</t>
  </si>
  <si>
    <t>Plati de leasing</t>
  </si>
  <si>
    <t>Payments of lease liabilities</t>
  </si>
  <si>
    <t xml:space="preserve"> Incasari/rambursari de impumuturi bancare </t>
  </si>
  <si>
    <t>Proceeds from/repayment of bank loans</t>
  </si>
  <si>
    <t xml:space="preserve"> Plati dividende </t>
  </si>
  <si>
    <t>Payment of dividends</t>
  </si>
  <si>
    <t>Net cash generated by/used in financing activities</t>
  </si>
  <si>
    <t>Net increase in cash and cash equivalents</t>
  </si>
  <si>
    <t>Cash and cash equivalents at the beginning of the year</t>
  </si>
  <si>
    <t>Effects of exchange rate changes on the balance of cash held in foreign currencies</t>
  </si>
  <si>
    <t>Cash and cash equivalents at the end of the year</t>
  </si>
  <si>
    <t>Loss on receivables and sundry debtors</t>
  </si>
  <si>
    <t>Incasari din investitii financiare</t>
  </si>
  <si>
    <t>Proceeds from financial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</si>
</sst>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-* #,##0\ _l_e_i_-;\-* #,##0\ _l_e_i_-;_-* &quot;-&quot;??\ _l_e_i_-;_-@_-"/>
    <numFmt numFmtId="166" formatCode="_(* #,##0.00_);_(* \(#,##0.00\);_(* &quot;-&quot;_);_(@_)"/>
    <numFmt numFmtId="167" formatCode="_-* #,##0_-;\-* #,##0_-;_-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b/>
      <sz val="10.5"/>
      <name val="Candara"/>
      <family val="2"/>
    </font>
    <font>
      <sz val="10.5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i/>
      <sz val="11"/>
      <name val="Candara"/>
      <family val="2"/>
    </font>
    <font>
      <sz val="11"/>
      <color theme="3" tint="-0.499984740745262"/>
      <name val="Candara"/>
      <family val="2"/>
    </font>
    <font>
      <i/>
      <sz val="11"/>
      <color theme="1"/>
      <name val="Candara"/>
      <family val="2"/>
    </font>
    <font>
      <sz val="11"/>
      <color theme="0"/>
      <name val="Candara"/>
      <family val="2"/>
    </font>
    <font>
      <i/>
      <sz val="11"/>
      <color theme="0"/>
      <name val="Candara"/>
      <family val="2"/>
    </font>
    <font>
      <b/>
      <sz val="10.5"/>
      <color theme="0"/>
      <name val="Candara"/>
      <family val="2"/>
    </font>
    <font>
      <sz val="10.5"/>
      <color theme="0"/>
      <name val="Candara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indexed="8"/>
      <name val="Trebuchet MS"/>
      <family val="2"/>
    </font>
    <font>
      <b/>
      <sz val="18"/>
      <color theme="1"/>
      <name val="Candara"/>
      <family val="2"/>
    </font>
    <font>
      <b/>
      <sz val="11"/>
      <color theme="1"/>
      <name val="Candara"/>
      <family val="2"/>
    </font>
    <font>
      <sz val="11"/>
      <color theme="1"/>
      <name val="Calibri"/>
      <family val="2"/>
    </font>
    <font>
      <b/>
      <sz val="13.5"/>
      <color theme="1"/>
      <name val="Garamond"/>
      <family val="1"/>
    </font>
    <font>
      <sz val="14"/>
      <color theme="3" tint="-0.499984740745262"/>
      <name val="Candara"/>
      <family val="2"/>
    </font>
    <font>
      <u/>
      <sz val="14"/>
      <color theme="3" tint="-0.499984740745262"/>
      <name val="Candara"/>
      <family val="2"/>
    </font>
    <font>
      <b/>
      <i/>
      <sz val="11"/>
      <color theme="1"/>
      <name val="Candara"/>
      <family val="2"/>
    </font>
    <font>
      <i/>
      <sz val="10.5"/>
      <name val="Candara"/>
      <family val="2"/>
    </font>
    <font>
      <sz val="11.5"/>
      <color theme="1"/>
      <name val="Candara"/>
      <family val="2"/>
    </font>
    <font>
      <sz val="11"/>
      <color rgb="FFC00000"/>
      <name val="Candara"/>
      <family val="2"/>
    </font>
    <font>
      <b/>
      <sz val="16"/>
      <color theme="1"/>
      <name val="Candara"/>
      <family val="2"/>
    </font>
    <font>
      <b/>
      <u/>
      <sz val="11"/>
      <color theme="1"/>
      <name val="Candara"/>
      <family val="2"/>
    </font>
    <font>
      <sz val="10.5"/>
      <color theme="1"/>
      <name val="Candara"/>
      <family val="2"/>
    </font>
    <font>
      <b/>
      <sz val="10.5"/>
      <color theme="1"/>
      <name val="Candara"/>
      <family val="2"/>
    </font>
    <font>
      <sz val="10.5"/>
      <color theme="3" tint="-0.499984740745262"/>
      <name val="Candara"/>
      <family val="2"/>
    </font>
    <font>
      <b/>
      <sz val="10.5"/>
      <color theme="3" tint="-0.499984740745262"/>
      <name val="Candara"/>
      <family val="2"/>
    </font>
    <font>
      <b/>
      <i/>
      <sz val="10.5"/>
      <name val="Candara"/>
      <family val="2"/>
    </font>
    <font>
      <i/>
      <sz val="10.5"/>
      <color theme="1"/>
      <name val="Candara"/>
      <family val="2"/>
    </font>
    <font>
      <b/>
      <sz val="11"/>
      <color theme="2" tint="-0.89999084444715716"/>
      <name val="Candara"/>
      <family val="2"/>
    </font>
    <font>
      <b/>
      <u/>
      <sz val="11"/>
      <color theme="2" tint="-0.89999084444715716"/>
      <name val="Candara"/>
      <family val="2"/>
    </font>
    <font>
      <i/>
      <sz val="11"/>
      <color theme="2" tint="-0.89999084444715716"/>
      <name val="Candara"/>
      <family val="2"/>
    </font>
    <font>
      <sz val="11"/>
      <color theme="2" tint="-0.89999084444715716"/>
      <name val="Candara"/>
      <family val="2"/>
    </font>
    <font>
      <b/>
      <i/>
      <sz val="11"/>
      <color theme="2" tint="-0.89999084444715716"/>
      <name val="Candara"/>
      <family val="2"/>
    </font>
    <font>
      <sz val="11"/>
      <color theme="2" tint="-0.89999084444715716"/>
      <name val="Calibri"/>
      <family val="2"/>
      <scheme val="minor"/>
    </font>
    <font>
      <i/>
      <sz val="10.5"/>
      <color theme="2" tint="-0.89999084444715716"/>
      <name val="Candara"/>
      <family val="2"/>
    </font>
    <font>
      <i/>
      <u/>
      <sz val="11"/>
      <color theme="2" tint="-0.89999084444715716"/>
      <name val="Candara"/>
      <family val="2"/>
    </font>
    <font>
      <b/>
      <sz val="11"/>
      <color theme="0"/>
      <name val="Candara"/>
      <family val="2"/>
    </font>
    <font>
      <b/>
      <sz val="11"/>
      <color theme="3" tint="-0.499984740745262"/>
      <name val="Candara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219EBC"/>
        <bgColor indexed="64"/>
      </patternFill>
    </fill>
    <fill>
      <patternFill patternType="solid">
        <fgColor rgb="FF6DCEE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DashDot">
        <color theme="9" tint="-0.499984740745262"/>
      </left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 style="mediumDashDot">
        <color theme="9" tint="-0.499984740745262"/>
      </right>
      <top style="mediumDashDot">
        <color theme="9" tint="-0.499984740745262"/>
      </top>
      <bottom style="mediumDashDot">
        <color theme="9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21" fillId="0" borderId="0" applyNumberFormat="0" applyFill="0" applyBorder="0" applyAlignment="0" applyProtection="0"/>
    <xf numFmtId="0" fontId="22" fillId="5" borderId="3" applyNumberFormat="0" applyBorder="0" applyProtection="0">
      <alignment vertical="center"/>
    </xf>
  </cellStyleXfs>
  <cellXfs count="267">
    <xf numFmtId="0" fontId="0" fillId="0" borderId="0" xfId="0"/>
    <xf numFmtId="0" fontId="8" fillId="0" borderId="0" xfId="0" applyFont="1"/>
    <xf numFmtId="164" fontId="10" fillId="2" borderId="0" xfId="3" applyNumberFormat="1" applyFont="1" applyFill="1" applyAlignment="1">
      <alignment vertical="center"/>
    </xf>
    <xf numFmtId="3" fontId="10" fillId="2" borderId="0" xfId="0" applyNumberFormat="1" applyFont="1" applyFill="1"/>
    <xf numFmtId="10" fontId="10" fillId="2" borderId="0" xfId="2" applyNumberFormat="1" applyFont="1" applyFill="1"/>
    <xf numFmtId="164" fontId="10" fillId="2" borderId="0" xfId="3" applyNumberFormat="1" applyFont="1" applyFill="1" applyAlignment="1">
      <alignment vertical="top" wrapText="1"/>
    </xf>
    <xf numFmtId="164" fontId="9" fillId="2" borderId="1" xfId="3" applyNumberFormat="1" applyFont="1" applyFill="1" applyBorder="1" applyAlignment="1">
      <alignment vertical="center"/>
    </xf>
    <xf numFmtId="3" fontId="9" fillId="2" borderId="1" xfId="0" applyNumberFormat="1" applyFont="1" applyFill="1" applyBorder="1"/>
    <xf numFmtId="164" fontId="10" fillId="2" borderId="0" xfId="0" applyNumberFormat="1" applyFont="1" applyFill="1"/>
    <xf numFmtId="164" fontId="11" fillId="2" borderId="0" xfId="3" applyNumberFormat="1" applyFont="1" applyFill="1" applyAlignment="1">
      <alignment wrapText="1"/>
    </xf>
    <xf numFmtId="164" fontId="11" fillId="2" borderId="0" xfId="3" applyNumberFormat="1" applyFont="1" applyFill="1" applyAlignment="1">
      <alignment vertical="center"/>
    </xf>
    <xf numFmtId="3" fontId="13" fillId="2" borderId="0" xfId="0" applyNumberFormat="1" applyFont="1" applyFill="1"/>
    <xf numFmtId="0" fontId="11" fillId="0" borderId="0" xfId="0" applyFont="1"/>
    <xf numFmtId="0" fontId="15" fillId="0" borderId="0" xfId="0" applyFont="1"/>
    <xf numFmtId="3" fontId="17" fillId="4" borderId="0" xfId="0" applyNumberFormat="1" applyFont="1" applyFill="1"/>
    <xf numFmtId="3" fontId="8" fillId="0" borderId="0" xfId="0" applyNumberFormat="1" applyFont="1"/>
    <xf numFmtId="164" fontId="12" fillId="2" borderId="0" xfId="3" applyNumberFormat="1" applyFont="1" applyFill="1" applyAlignment="1">
      <alignment vertical="center"/>
    </xf>
    <xf numFmtId="0" fontId="8" fillId="2" borderId="0" xfId="0" applyFont="1" applyFill="1"/>
    <xf numFmtId="10" fontId="11" fillId="2" borderId="0" xfId="2" applyNumberFormat="1" applyFont="1" applyFill="1" applyAlignment="1">
      <alignment horizontal="right" wrapText="1"/>
    </xf>
    <xf numFmtId="166" fontId="11" fillId="2" borderId="0" xfId="3" applyNumberFormat="1" applyFont="1" applyFill="1" applyAlignment="1">
      <alignment horizontal="right" wrapText="1"/>
    </xf>
    <xf numFmtId="9" fontId="11" fillId="2" borderId="0" xfId="2" applyFont="1" applyFill="1" applyAlignment="1">
      <alignment horizontal="right" wrapText="1"/>
    </xf>
    <xf numFmtId="164" fontId="11" fillId="2" borderId="0" xfId="3" applyNumberFormat="1" applyFont="1" applyFill="1" applyAlignment="1">
      <alignment horizontal="right" wrapText="1"/>
    </xf>
    <xf numFmtId="167" fontId="11" fillId="2" borderId="0" xfId="3" applyNumberFormat="1" applyFont="1" applyFill="1" applyAlignment="1">
      <alignment horizontal="right" wrapText="1"/>
    </xf>
    <xf numFmtId="0" fontId="8" fillId="0" borderId="0" xfId="0" applyFont="1" applyAlignment="1">
      <alignment vertical="center"/>
    </xf>
    <xf numFmtId="0" fontId="5" fillId="0" borderId="0" xfId="0" applyFont="1"/>
    <xf numFmtId="0" fontId="5" fillId="6" borderId="0" xfId="0" applyFont="1" applyFill="1"/>
    <xf numFmtId="0" fontId="5" fillId="8" borderId="0" xfId="0" applyFont="1" applyFill="1"/>
    <xf numFmtId="0" fontId="5" fillId="7" borderId="0" xfId="0" applyFont="1" applyFill="1"/>
    <xf numFmtId="0" fontId="5" fillId="0" borderId="0" xfId="0" applyFont="1" applyAlignment="1">
      <alignment horizontal="center"/>
    </xf>
    <xf numFmtId="167" fontId="5" fillId="0" borderId="0" xfId="1" applyNumberFormat="1" applyFont="1"/>
    <xf numFmtId="167" fontId="5" fillId="0" borderId="0" xfId="0" applyNumberFormat="1" applyFont="1" applyAlignment="1">
      <alignment horizontal="center"/>
    </xf>
    <xf numFmtId="165" fontId="4" fillId="2" borderId="0" xfId="1" applyNumberFormat="1" applyFont="1" applyFill="1"/>
    <xf numFmtId="0" fontId="32" fillId="0" borderId="0" xfId="0" applyFont="1"/>
    <xf numFmtId="0" fontId="3" fillId="0" borderId="0" xfId="0" applyFont="1"/>
    <xf numFmtId="167" fontId="5" fillId="0" borderId="0" xfId="0" applyNumberFormat="1" applyFont="1"/>
    <xf numFmtId="0" fontId="2" fillId="0" borderId="0" xfId="0" applyFont="1"/>
    <xf numFmtId="167" fontId="5" fillId="9" borderId="0" xfId="1" applyNumberFormat="1" applyFont="1" applyFill="1"/>
    <xf numFmtId="0" fontId="5" fillId="6" borderId="0" xfId="0" applyFont="1" applyFill="1" applyAlignment="1">
      <alignment horizontal="right"/>
    </xf>
    <xf numFmtId="165" fontId="1" fillId="2" borderId="0" xfId="1" applyNumberFormat="1" applyFont="1" applyFill="1"/>
    <xf numFmtId="0" fontId="1" fillId="0" borderId="0" xfId="0" applyFont="1" applyAlignment="1">
      <alignment horizontal="right"/>
    </xf>
    <xf numFmtId="0" fontId="1" fillId="0" borderId="0" xfId="0" applyFont="1"/>
    <xf numFmtId="0" fontId="32" fillId="10" borderId="0" xfId="0" applyFont="1" applyFill="1"/>
    <xf numFmtId="0" fontId="24" fillId="0" borderId="0" xfId="0" applyFont="1"/>
    <xf numFmtId="10" fontId="12" fillId="2" borderId="0" xfId="2" applyNumberFormat="1" applyFont="1" applyFill="1" applyAlignment="1">
      <alignment horizontal="right" wrapText="1"/>
    </xf>
    <xf numFmtId="164" fontId="8" fillId="0" borderId="0" xfId="0" applyNumberFormat="1" applyFont="1"/>
    <xf numFmtId="0" fontId="15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3" fontId="24" fillId="2" borderId="1" xfId="0" applyNumberFormat="1" applyFont="1" applyFill="1" applyBorder="1" applyAlignment="1">
      <alignment horizontal="right"/>
    </xf>
    <xf numFmtId="43" fontId="5" fillId="0" borderId="0" xfId="1" applyFont="1"/>
    <xf numFmtId="43" fontId="1" fillId="0" borderId="0" xfId="1" applyFont="1"/>
    <xf numFmtId="0" fontId="1" fillId="0" borderId="0" xfId="0" applyFont="1" applyAlignment="1">
      <alignment horizontal="center"/>
    </xf>
    <xf numFmtId="167" fontId="1" fillId="0" borderId="0" xfId="0" applyNumberFormat="1" applyFont="1"/>
    <xf numFmtId="167" fontId="1" fillId="0" borderId="0" xfId="1" applyNumberFormat="1" applyFont="1"/>
    <xf numFmtId="9" fontId="1" fillId="0" borderId="0" xfId="2" applyFont="1"/>
    <xf numFmtId="167" fontId="11" fillId="0" borderId="0" xfId="1" applyNumberFormat="1" applyFont="1"/>
    <xf numFmtId="9" fontId="11" fillId="0" borderId="0" xfId="2" applyFont="1"/>
    <xf numFmtId="167" fontId="12" fillId="0" borderId="0" xfId="0" applyNumberFormat="1" applyFont="1"/>
    <xf numFmtId="9" fontId="8" fillId="0" borderId="0" xfId="2" applyFont="1"/>
    <xf numFmtId="0" fontId="31" fillId="0" borderId="0" xfId="0" applyFont="1"/>
    <xf numFmtId="9" fontId="11" fillId="2" borderId="0" xfId="2" applyFont="1" applyFill="1" applyAlignment="1">
      <alignment vertical="center"/>
    </xf>
    <xf numFmtId="9" fontId="16" fillId="0" borderId="0" xfId="2" applyFont="1"/>
    <xf numFmtId="164" fontId="11" fillId="2" borderId="5" xfId="3" applyNumberFormat="1" applyFont="1" applyFill="1" applyBorder="1" applyAlignment="1">
      <alignment vertical="center"/>
    </xf>
    <xf numFmtId="164" fontId="1" fillId="0" borderId="0" xfId="0" applyNumberFormat="1" applyFont="1"/>
    <xf numFmtId="3" fontId="5" fillId="0" borderId="0" xfId="0" applyNumberFormat="1" applyFont="1"/>
    <xf numFmtId="9" fontId="5" fillId="0" borderId="0" xfId="2" applyFont="1"/>
    <xf numFmtId="0" fontId="1" fillId="7" borderId="0" xfId="0" applyFont="1" applyFill="1"/>
    <xf numFmtId="3" fontId="10" fillId="11" borderId="0" xfId="0" applyNumberFormat="1" applyFont="1" applyFill="1"/>
    <xf numFmtId="164" fontId="18" fillId="12" borderId="7" xfId="3" applyNumberFormat="1" applyFont="1" applyFill="1" applyBorder="1" applyAlignment="1">
      <alignment vertical="center" wrapText="1"/>
    </xf>
    <xf numFmtId="0" fontId="18" fillId="12" borderId="7" xfId="0" applyFont="1" applyFill="1" applyBorder="1" applyAlignment="1">
      <alignment horizontal="center" vertical="center" wrapText="1"/>
    </xf>
    <xf numFmtId="10" fontId="18" fillId="12" borderId="7" xfId="2" applyNumberFormat="1" applyFont="1" applyFill="1" applyBorder="1" applyAlignment="1">
      <alignment horizontal="center" vertical="center" wrapText="1"/>
    </xf>
    <xf numFmtId="164" fontId="9" fillId="2" borderId="7" xfId="3" applyNumberFormat="1" applyFont="1" applyFill="1" applyBorder="1" applyAlignment="1">
      <alignment vertical="center"/>
    </xf>
    <xf numFmtId="3" fontId="9" fillId="2" borderId="7" xfId="0" applyNumberFormat="1" applyFont="1" applyFill="1" applyBorder="1"/>
    <xf numFmtId="3" fontId="9" fillId="11" borderId="7" xfId="0" applyNumberFormat="1" applyFont="1" applyFill="1" applyBorder="1"/>
    <xf numFmtId="10" fontId="9" fillId="2" borderId="7" xfId="2" applyNumberFormat="1" applyFont="1" applyFill="1" applyBorder="1"/>
    <xf numFmtId="10" fontId="10" fillId="2" borderId="7" xfId="2" applyNumberFormat="1" applyFont="1" applyFill="1" applyBorder="1"/>
    <xf numFmtId="164" fontId="10" fillId="2" borderId="0" xfId="4" applyNumberFormat="1" applyFont="1" applyFill="1" applyAlignment="1">
      <alignment vertical="center" wrapText="1"/>
    </xf>
    <xf numFmtId="164" fontId="10" fillId="2" borderId="0" xfId="4" applyNumberFormat="1" applyFont="1" applyFill="1" applyAlignment="1">
      <alignment vertical="center"/>
    </xf>
    <xf numFmtId="0" fontId="10" fillId="2" borderId="0" xfId="0" applyFont="1" applyFill="1"/>
    <xf numFmtId="165" fontId="10" fillId="2" borderId="0" xfId="1" applyNumberFormat="1" applyFont="1" applyFill="1"/>
    <xf numFmtId="0" fontId="35" fillId="0" borderId="0" xfId="0" applyFont="1"/>
    <xf numFmtId="0" fontId="19" fillId="0" borderId="0" xfId="0" applyFont="1"/>
    <xf numFmtId="164" fontId="18" fillId="14" borderId="7" xfId="3" applyNumberFormat="1" applyFont="1" applyFill="1" applyBorder="1" applyAlignment="1">
      <alignment vertical="center"/>
    </xf>
    <xf numFmtId="0" fontId="18" fillId="14" borderId="7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4" fontId="10" fillId="2" borderId="0" xfId="3" applyNumberFormat="1" applyFont="1" applyFill="1" applyAlignment="1">
      <alignment wrapText="1"/>
    </xf>
    <xf numFmtId="9" fontId="10" fillId="2" borderId="0" xfId="2" applyFont="1" applyFill="1"/>
    <xf numFmtId="164" fontId="9" fillId="2" borderId="7" xfId="3" applyNumberFormat="1" applyFont="1" applyFill="1" applyBorder="1" applyAlignment="1">
      <alignment wrapText="1"/>
    </xf>
    <xf numFmtId="9" fontId="9" fillId="2" borderId="7" xfId="2" applyFont="1" applyFill="1" applyBorder="1"/>
    <xf numFmtId="3" fontId="10" fillId="2" borderId="0" xfId="0" applyNumberFormat="1" applyFont="1" applyFill="1" applyAlignment="1">
      <alignment vertical="center"/>
    </xf>
    <xf numFmtId="0" fontId="35" fillId="0" borderId="0" xfId="0" applyFont="1" applyAlignment="1">
      <alignment wrapText="1"/>
    </xf>
    <xf numFmtId="164" fontId="35" fillId="0" borderId="0" xfId="0" applyNumberFormat="1" applyFont="1"/>
    <xf numFmtId="0" fontId="37" fillId="0" borderId="0" xfId="0" applyFont="1" applyAlignment="1">
      <alignment wrapText="1"/>
    </xf>
    <xf numFmtId="3" fontId="38" fillId="0" borderId="0" xfId="0" applyNumberFormat="1" applyFont="1"/>
    <xf numFmtId="3" fontId="9" fillId="15" borderId="0" xfId="0" applyNumberFormat="1" applyFont="1" applyFill="1"/>
    <xf numFmtId="0" fontId="37" fillId="0" borderId="0" xfId="0" applyFont="1"/>
    <xf numFmtId="10" fontId="37" fillId="0" borderId="0" xfId="2" applyNumberFormat="1" applyFont="1"/>
    <xf numFmtId="10" fontId="10" fillId="15" borderId="0" xfId="2" applyNumberFormat="1" applyFont="1" applyFill="1"/>
    <xf numFmtId="0" fontId="10" fillId="0" borderId="0" xfId="0" applyFont="1" applyAlignment="1">
      <alignment wrapText="1"/>
    </xf>
    <xf numFmtId="3" fontId="30" fillId="2" borderId="0" xfId="0" applyNumberFormat="1" applyFont="1" applyFill="1"/>
    <xf numFmtId="3" fontId="30" fillId="15" borderId="0" xfId="0" applyNumberFormat="1" applyFont="1" applyFill="1"/>
    <xf numFmtId="0" fontId="10" fillId="0" borderId="0" xfId="0" applyFont="1"/>
    <xf numFmtId="10" fontId="30" fillId="2" borderId="0" xfId="2" applyNumberFormat="1" applyFont="1" applyFill="1"/>
    <xf numFmtId="10" fontId="30" fillId="15" borderId="0" xfId="2" applyNumberFormat="1" applyFont="1" applyFill="1"/>
    <xf numFmtId="3" fontId="38" fillId="2" borderId="0" xfId="0" applyNumberFormat="1" applyFont="1" applyFill="1"/>
    <xf numFmtId="10" fontId="37" fillId="2" borderId="0" xfId="2" applyNumberFormat="1" applyFont="1" applyFill="1"/>
    <xf numFmtId="164" fontId="38" fillId="2" borderId="1" xfId="3" applyNumberFormat="1" applyFont="1" applyFill="1" applyBorder="1" applyAlignment="1">
      <alignment vertical="center" wrapText="1"/>
    </xf>
    <xf numFmtId="164" fontId="38" fillId="2" borderId="1" xfId="3" applyNumberFormat="1" applyFont="1" applyFill="1" applyBorder="1" applyAlignment="1">
      <alignment vertical="center"/>
    </xf>
    <xf numFmtId="3" fontId="38" fillId="2" borderId="1" xfId="0" applyNumberFormat="1" applyFont="1" applyFill="1" applyBorder="1"/>
    <xf numFmtId="3" fontId="9" fillId="15" borderId="1" xfId="0" applyNumberFormat="1" applyFont="1" applyFill="1" applyBorder="1"/>
    <xf numFmtId="3" fontId="10" fillId="2" borderId="1" xfId="0" applyNumberFormat="1" applyFont="1" applyFill="1" applyBorder="1"/>
    <xf numFmtId="164" fontId="10" fillId="2" borderId="1" xfId="3" applyNumberFormat="1" applyFont="1" applyFill="1" applyBorder="1" applyAlignment="1">
      <alignment wrapText="1"/>
    </xf>
    <xf numFmtId="9" fontId="10" fillId="2" borderId="1" xfId="2" applyFont="1" applyFill="1" applyBorder="1"/>
    <xf numFmtId="9" fontId="38" fillId="2" borderId="1" xfId="2" applyFont="1" applyFill="1" applyBorder="1" applyAlignment="1">
      <alignment vertical="center"/>
    </xf>
    <xf numFmtId="9" fontId="38" fillId="2" borderId="1" xfId="2" applyFont="1" applyFill="1" applyBorder="1"/>
    <xf numFmtId="9" fontId="9" fillId="15" borderId="1" xfId="2" applyFont="1" applyFill="1" applyBorder="1"/>
    <xf numFmtId="164" fontId="38" fillId="2" borderId="2" xfId="3" applyNumberFormat="1" applyFont="1" applyFill="1" applyBorder="1" applyAlignment="1">
      <alignment vertical="center" wrapText="1"/>
    </xf>
    <xf numFmtId="164" fontId="38" fillId="2" borderId="2" xfId="3" applyNumberFormat="1" applyFont="1" applyFill="1" applyBorder="1" applyAlignment="1">
      <alignment vertical="center"/>
    </xf>
    <xf numFmtId="3" fontId="9" fillId="2" borderId="2" xfId="0" applyNumberFormat="1" applyFont="1" applyFill="1" applyBorder="1"/>
    <xf numFmtId="165" fontId="38" fillId="2" borderId="2" xfId="1" applyNumberFormat="1" applyFont="1" applyFill="1" applyBorder="1" applyAlignment="1">
      <alignment horizontal="right"/>
    </xf>
    <xf numFmtId="9" fontId="37" fillId="2" borderId="2" xfId="2" applyFont="1" applyFill="1" applyBorder="1"/>
    <xf numFmtId="3" fontId="37" fillId="0" borderId="0" xfId="0" applyNumberFormat="1" applyFont="1"/>
    <xf numFmtId="3" fontId="10" fillId="15" borderId="0" xfId="0" applyNumberFormat="1" applyFont="1" applyFill="1"/>
    <xf numFmtId="0" fontId="10" fillId="0" borderId="0" xfId="0" applyFont="1" applyAlignment="1">
      <alignment vertical="center" wrapText="1"/>
    </xf>
    <xf numFmtId="3" fontId="30" fillId="2" borderId="0" xfId="0" applyNumberFormat="1" applyFont="1" applyFill="1" applyAlignment="1">
      <alignment vertical="center"/>
    </xf>
    <xf numFmtId="3" fontId="30" fillId="15" borderId="0" xfId="0" applyNumberFormat="1" applyFont="1" applyFill="1" applyAlignment="1">
      <alignment vertical="center"/>
    </xf>
    <xf numFmtId="164" fontId="10" fillId="2" borderId="0" xfId="3" applyNumberFormat="1" applyFont="1" applyFill="1" applyAlignment="1">
      <alignment vertical="center" wrapText="1"/>
    </xf>
    <xf numFmtId="9" fontId="10" fillId="2" borderId="0" xfId="2" applyFont="1" applyFill="1" applyAlignment="1">
      <alignment vertical="center"/>
    </xf>
    <xf numFmtId="0" fontId="10" fillId="0" borderId="0" xfId="0" applyFont="1" applyAlignment="1">
      <alignment vertical="center"/>
    </xf>
    <xf numFmtId="10" fontId="30" fillId="2" borderId="0" xfId="2" applyNumberFormat="1" applyFont="1" applyFill="1" applyAlignment="1">
      <alignment vertical="center"/>
    </xf>
    <xf numFmtId="10" fontId="30" fillId="15" borderId="0" xfId="2" applyNumberFormat="1" applyFont="1" applyFill="1" applyAlignment="1">
      <alignment vertical="center"/>
    </xf>
    <xf numFmtId="164" fontId="38" fillId="2" borderId="0" xfId="3" applyNumberFormat="1" applyFont="1" applyFill="1" applyAlignment="1">
      <alignment vertical="center" wrapText="1"/>
    </xf>
    <xf numFmtId="164" fontId="38" fillId="2" borderId="0" xfId="3" applyNumberFormat="1" applyFont="1" applyFill="1" applyAlignment="1">
      <alignment vertical="center"/>
    </xf>
    <xf numFmtId="3" fontId="9" fillId="2" borderId="0" xfId="0" applyNumberFormat="1" applyFont="1" applyFill="1"/>
    <xf numFmtId="165" fontId="38" fillId="2" borderId="0" xfId="1" applyNumberFormat="1" applyFont="1" applyFill="1" applyBorder="1" applyAlignment="1">
      <alignment horizontal="right"/>
    </xf>
    <xf numFmtId="9" fontId="37" fillId="2" borderId="0" xfId="2" applyFont="1" applyFill="1" applyBorder="1"/>
    <xf numFmtId="0" fontId="35" fillId="3" borderId="0" xfId="0" applyFont="1" applyFill="1" applyAlignment="1">
      <alignment vertical="center" wrapText="1"/>
    </xf>
    <xf numFmtId="164" fontId="30" fillId="2" borderId="0" xfId="3" applyNumberFormat="1" applyFont="1" applyFill="1" applyAlignment="1">
      <alignment vertical="center"/>
    </xf>
    <xf numFmtId="164" fontId="9" fillId="2" borderId="1" xfId="3" applyNumberFormat="1" applyFont="1" applyFill="1" applyBorder="1" applyAlignment="1">
      <alignment vertical="center" wrapText="1"/>
    </xf>
    <xf numFmtId="164" fontId="39" fillId="2" borderId="1" xfId="3" applyNumberFormat="1" applyFont="1" applyFill="1" applyBorder="1" applyAlignment="1">
      <alignment vertical="center"/>
    </xf>
    <xf numFmtId="0" fontId="40" fillId="0" borderId="0" xfId="0" applyFont="1" applyAlignment="1">
      <alignment wrapText="1"/>
    </xf>
    <xf numFmtId="0" fontId="5" fillId="15" borderId="0" xfId="0" applyFont="1" applyFill="1"/>
    <xf numFmtId="0" fontId="24" fillId="15" borderId="0" xfId="0" applyFont="1" applyFill="1"/>
    <xf numFmtId="0" fontId="24" fillId="15" borderId="0" xfId="0" applyFont="1" applyFill="1" applyAlignment="1">
      <alignment vertical="center"/>
    </xf>
    <xf numFmtId="0" fontId="25" fillId="18" borderId="0" xfId="0" applyFont="1" applyFill="1" applyAlignment="1">
      <alignment vertical="center"/>
    </xf>
    <xf numFmtId="0" fontId="0" fillId="18" borderId="0" xfId="0" applyFill="1"/>
    <xf numFmtId="0" fontId="24" fillId="18" borderId="0" xfId="0" applyFont="1" applyFill="1"/>
    <xf numFmtId="0" fontId="20" fillId="18" borderId="0" xfId="0" applyFont="1" applyFill="1" applyAlignment="1">
      <alignment vertical="center"/>
    </xf>
    <xf numFmtId="0" fontId="26" fillId="18" borderId="0" xfId="0" applyFont="1" applyFill="1" applyAlignment="1">
      <alignment horizontal="justify" vertical="center"/>
    </xf>
    <xf numFmtId="0" fontId="27" fillId="18" borderId="0" xfId="0" applyFont="1" applyFill="1"/>
    <xf numFmtId="0" fontId="14" fillId="18" borderId="0" xfId="0" applyFont="1" applyFill="1"/>
    <xf numFmtId="0" fontId="8" fillId="18" borderId="0" xfId="0" applyFont="1" applyFill="1"/>
    <xf numFmtId="0" fontId="28" fillId="18" borderId="0" xfId="5" applyFont="1" applyFill="1"/>
    <xf numFmtId="0" fontId="44" fillId="19" borderId="0" xfId="0" applyFont="1" applyFill="1" applyAlignment="1">
      <alignment horizontal="left" vertical="top" wrapText="1"/>
    </xf>
    <xf numFmtId="0" fontId="46" fillId="19" borderId="0" xfId="0" applyFont="1" applyFill="1"/>
    <xf numFmtId="0" fontId="44" fillId="19" borderId="0" xfId="0" applyFont="1" applyFill="1" applyAlignment="1">
      <alignment vertical="top" wrapText="1"/>
    </xf>
    <xf numFmtId="0" fontId="41" fillId="19" borderId="0" xfId="0" applyFont="1" applyFill="1" applyAlignment="1">
      <alignment vertical="top" wrapText="1"/>
    </xf>
    <xf numFmtId="0" fontId="47" fillId="19" borderId="0" xfId="0" applyFont="1" applyFill="1"/>
    <xf numFmtId="0" fontId="43" fillId="19" borderId="0" xfId="0" applyFont="1" applyFill="1"/>
    <xf numFmtId="0" fontId="48" fillId="19" borderId="0" xfId="0" applyFont="1" applyFill="1"/>
    <xf numFmtId="10" fontId="35" fillId="0" borderId="0" xfId="2" applyNumberFormat="1" applyFont="1"/>
    <xf numFmtId="43" fontId="8" fillId="0" borderId="0" xfId="1" applyFont="1"/>
    <xf numFmtId="10" fontId="8" fillId="0" borderId="0" xfId="2" applyNumberFormat="1" applyFo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49" fillId="12" borderId="7" xfId="0" applyFont="1" applyFill="1" applyBorder="1" applyAlignment="1">
      <alignment horizontal="center" vertical="center" wrapText="1"/>
    </xf>
    <xf numFmtId="10" fontId="49" fillId="12" borderId="7" xfId="2" applyNumberFormat="1" applyFont="1" applyFill="1" applyBorder="1" applyAlignment="1">
      <alignment horizontal="center" vertical="center" wrapText="1"/>
    </xf>
    <xf numFmtId="10" fontId="11" fillId="2" borderId="0" xfId="2" applyNumberFormat="1" applyFont="1" applyFill="1"/>
    <xf numFmtId="3" fontId="11" fillId="2" borderId="0" xfId="0" applyNumberFormat="1" applyFont="1" applyFill="1"/>
    <xf numFmtId="164" fontId="11" fillId="2" borderId="0" xfId="3" applyNumberFormat="1" applyFont="1" applyFill="1" applyAlignment="1">
      <alignment vertical="top" wrapText="1"/>
    </xf>
    <xf numFmtId="3" fontId="12" fillId="2" borderId="7" xfId="0" applyNumberFormat="1" applyFont="1" applyFill="1" applyBorder="1"/>
    <xf numFmtId="10" fontId="12" fillId="2" borderId="7" xfId="2" applyNumberFormat="1" applyFont="1" applyFill="1" applyBorder="1"/>
    <xf numFmtId="10" fontId="11" fillId="2" borderId="7" xfId="2" applyNumberFormat="1" applyFont="1" applyFill="1" applyBorder="1"/>
    <xf numFmtId="164" fontId="11" fillId="2" borderId="0" xfId="0" applyNumberFormat="1" applyFont="1" applyFill="1"/>
    <xf numFmtId="0" fontId="49" fillId="14" borderId="7" xfId="0" applyFont="1" applyFill="1" applyBorder="1" applyAlignment="1">
      <alignment horizontal="center" vertical="center"/>
    </xf>
    <xf numFmtId="164" fontId="11" fillId="13" borderId="0" xfId="3" applyNumberFormat="1" applyFont="1" applyFill="1" applyAlignment="1">
      <alignment wrapText="1"/>
    </xf>
    <xf numFmtId="164" fontId="11" fillId="13" borderId="0" xfId="3" applyNumberFormat="1" applyFont="1" applyFill="1" applyAlignment="1">
      <alignment vertical="center"/>
    </xf>
    <xf numFmtId="164" fontId="12" fillId="2" borderId="7" xfId="3" applyNumberFormat="1" applyFont="1" applyFill="1" applyBorder="1" applyAlignment="1">
      <alignment wrapText="1"/>
    </xf>
    <xf numFmtId="164" fontId="12" fillId="13" borderId="7" xfId="3" applyNumberFormat="1" applyFont="1" applyFill="1" applyBorder="1" applyAlignment="1">
      <alignment wrapText="1"/>
    </xf>
    <xf numFmtId="3" fontId="11" fillId="2" borderId="0" xfId="0" applyNumberFormat="1" applyFont="1" applyFill="1" applyAlignment="1">
      <alignment vertical="center"/>
    </xf>
    <xf numFmtId="3" fontId="11" fillId="13" borderId="0" xfId="0" applyNumberFormat="1" applyFont="1" applyFill="1" applyAlignment="1">
      <alignment vertical="center"/>
    </xf>
    <xf numFmtId="3" fontId="50" fillId="2" borderId="1" xfId="0" applyNumberFormat="1" applyFont="1" applyFill="1" applyBorder="1"/>
    <xf numFmtId="3" fontId="12" fillId="13" borderId="1" xfId="0" applyNumberFormat="1" applyFont="1" applyFill="1" applyBorder="1"/>
    <xf numFmtId="3" fontId="11" fillId="13" borderId="0" xfId="0" applyNumberFormat="1" applyFont="1" applyFill="1"/>
    <xf numFmtId="3" fontId="12" fillId="13" borderId="0" xfId="0" applyNumberFormat="1" applyFont="1" applyFill="1"/>
    <xf numFmtId="164" fontId="30" fillId="15" borderId="0" xfId="3" applyNumberFormat="1" applyFont="1" applyFill="1" applyAlignment="1">
      <alignment vertical="center"/>
    </xf>
    <xf numFmtId="0" fontId="40" fillId="15" borderId="0" xfId="0" applyFont="1" applyFill="1" applyAlignment="1">
      <alignment vertical="center" wrapText="1"/>
    </xf>
    <xf numFmtId="3" fontId="13" fillId="15" borderId="0" xfId="0" applyNumberFormat="1" applyFont="1" applyFill="1"/>
    <xf numFmtId="9" fontId="30" fillId="15" borderId="0" xfId="2" applyFont="1" applyFill="1"/>
    <xf numFmtId="43" fontId="8" fillId="0" borderId="0" xfId="0" applyNumberFormat="1" applyFont="1"/>
    <xf numFmtId="0" fontId="33" fillId="19" borderId="0" xfId="0" applyFont="1" applyFill="1" applyAlignment="1">
      <alignment horizontal="center" vertical="center"/>
    </xf>
    <xf numFmtId="0" fontId="48" fillId="19" borderId="0" xfId="5" applyFont="1" applyFill="1" applyAlignment="1">
      <alignment horizontal="left"/>
    </xf>
    <xf numFmtId="0" fontId="23" fillId="18" borderId="0" xfId="0" applyFont="1" applyFill="1" applyAlignment="1">
      <alignment horizontal="left"/>
    </xf>
    <xf numFmtId="0" fontId="43" fillId="19" borderId="0" xfId="0" applyFont="1" applyFill="1" applyAlignment="1">
      <alignment horizontal="left" vertical="top" wrapText="1"/>
    </xf>
    <xf numFmtId="0" fontId="47" fillId="19" borderId="0" xfId="0" applyFont="1" applyFill="1" applyAlignment="1">
      <alignment horizontal="left" vertical="top" wrapText="1"/>
    </xf>
    <xf numFmtId="0" fontId="44" fillId="19" borderId="0" xfId="0" applyFont="1" applyFill="1" applyAlignment="1">
      <alignment horizontal="left" vertical="top" wrapText="1"/>
    </xf>
    <xf numFmtId="0" fontId="41" fillId="19" borderId="0" xfId="0" applyFont="1" applyFill="1" applyAlignment="1">
      <alignment horizontal="left" vertical="top" wrapText="1"/>
    </xf>
    <xf numFmtId="0" fontId="45" fillId="19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5" fillId="0" borderId="0" xfId="0" applyFont="1" applyAlignment="1">
      <alignment horizontal="left" vertical="top" wrapText="1"/>
    </xf>
    <xf numFmtId="10" fontId="49" fillId="12" borderId="7" xfId="2" applyNumberFormat="1" applyFont="1" applyFill="1" applyBorder="1" applyAlignment="1">
      <alignment horizontal="center" vertical="center" wrapText="1"/>
    </xf>
    <xf numFmtId="10" fontId="18" fillId="12" borderId="7" xfId="2" applyNumberFormat="1" applyFont="1" applyFill="1" applyBorder="1" applyAlignment="1">
      <alignment horizontal="center" vertical="center" wrapText="1"/>
    </xf>
    <xf numFmtId="0" fontId="18" fillId="14" borderId="7" xfId="0" applyFont="1" applyFill="1" applyBorder="1" applyAlignment="1">
      <alignment horizontal="center" vertical="center"/>
    </xf>
    <xf numFmtId="0" fontId="36" fillId="17" borderId="0" xfId="0" applyFont="1" applyFill="1" applyAlignment="1">
      <alignment horizontal="left"/>
    </xf>
    <xf numFmtId="0" fontId="36" fillId="6" borderId="0" xfId="0" applyFont="1" applyFill="1" applyAlignment="1">
      <alignment horizontal="left"/>
    </xf>
    <xf numFmtId="0" fontId="24" fillId="16" borderId="0" xfId="0" applyFont="1" applyFill="1" applyAlignment="1">
      <alignment horizontal="left" vertical="center"/>
    </xf>
    <xf numFmtId="0" fontId="24" fillId="16" borderId="0" xfId="0" applyFont="1" applyFill="1" applyAlignment="1">
      <alignment horizontal="left"/>
    </xf>
    <xf numFmtId="164" fontId="49" fillId="20" borderId="1" xfId="3" applyNumberFormat="1" applyFont="1" applyFill="1" applyBorder="1" applyAlignment="1">
      <alignment horizontal="center" vertical="center"/>
    </xf>
    <xf numFmtId="0" fontId="49" fillId="20" borderId="1" xfId="0" applyFont="1" applyFill="1" applyBorder="1" applyAlignment="1">
      <alignment horizontal="center" vertical="center"/>
    </xf>
    <xf numFmtId="0" fontId="49" fillId="20" borderId="1" xfId="0" applyFont="1" applyFill="1" applyBorder="1" applyAlignment="1">
      <alignment horizontal="center" vertical="center"/>
    </xf>
    <xf numFmtId="0" fontId="16" fillId="20" borderId="0" xfId="0" applyFont="1" applyFill="1"/>
    <xf numFmtId="0" fontId="49" fillId="20" borderId="4" xfId="0" applyFont="1" applyFill="1" applyBorder="1"/>
    <xf numFmtId="164" fontId="41" fillId="21" borderId="0" xfId="3" applyNumberFormat="1" applyFont="1" applyFill="1" applyAlignment="1">
      <alignment vertical="center"/>
    </xf>
    <xf numFmtId="164" fontId="41" fillId="21" borderId="5" xfId="3" applyNumberFormat="1" applyFont="1" applyFill="1" applyBorder="1" applyAlignment="1">
      <alignment vertical="center"/>
    </xf>
    <xf numFmtId="9" fontId="41" fillId="21" borderId="0" xfId="2" applyFont="1" applyFill="1" applyAlignment="1">
      <alignment vertical="center"/>
    </xf>
    <xf numFmtId="3" fontId="11" fillId="15" borderId="0" xfId="0" applyNumberFormat="1" applyFont="1" applyFill="1"/>
    <xf numFmtId="164" fontId="11" fillId="15" borderId="0" xfId="3" applyNumberFormat="1" applyFont="1" applyFill="1" applyAlignment="1">
      <alignment wrapText="1"/>
    </xf>
    <xf numFmtId="10" fontId="11" fillId="15" borderId="0" xfId="2" applyNumberFormat="1" applyFont="1" applyFill="1"/>
    <xf numFmtId="3" fontId="11" fillId="15" borderId="5" xfId="0" applyNumberFormat="1" applyFont="1" applyFill="1" applyBorder="1"/>
    <xf numFmtId="164" fontId="11" fillId="15" borderId="5" xfId="3" applyNumberFormat="1" applyFont="1" applyFill="1" applyBorder="1" applyAlignment="1">
      <alignment vertical="center"/>
    </xf>
    <xf numFmtId="10" fontId="11" fillId="15" borderId="6" xfId="2" applyNumberFormat="1" applyFont="1" applyFill="1" applyBorder="1" applyAlignment="1">
      <alignment vertical="center"/>
    </xf>
    <xf numFmtId="9" fontId="11" fillId="15" borderId="0" xfId="2" applyFont="1" applyFill="1" applyAlignment="1">
      <alignment wrapText="1"/>
    </xf>
    <xf numFmtId="9" fontId="11" fillId="15" borderId="0" xfId="2" applyFont="1" applyFill="1"/>
    <xf numFmtId="0" fontId="36" fillId="21" borderId="0" xfId="0" applyFont="1" applyFill="1"/>
    <xf numFmtId="0" fontId="35" fillId="21" borderId="0" xfId="0" applyFont="1" applyFill="1"/>
    <xf numFmtId="0" fontId="36" fillId="21" borderId="0" xfId="0" applyFont="1" applyFill="1" applyAlignment="1">
      <alignment wrapText="1"/>
    </xf>
    <xf numFmtId="0" fontId="36" fillId="21" borderId="0" xfId="0" applyFont="1" applyFill="1" applyAlignment="1">
      <alignment vertical="center" wrapText="1"/>
    </xf>
    <xf numFmtId="164" fontId="41" fillId="21" borderId="1" xfId="3" applyNumberFormat="1" applyFont="1" applyFill="1" applyBorder="1" applyAlignment="1">
      <alignment vertical="center"/>
    </xf>
    <xf numFmtId="0" fontId="41" fillId="21" borderId="1" xfId="0" applyFont="1" applyFill="1" applyBorder="1" applyAlignment="1">
      <alignment horizontal="center" vertical="center"/>
    </xf>
    <xf numFmtId="164" fontId="44" fillId="21" borderId="0" xfId="3" applyNumberFormat="1" applyFont="1" applyFill="1" applyAlignment="1">
      <alignment wrapText="1"/>
    </xf>
    <xf numFmtId="10" fontId="44" fillId="21" borderId="0" xfId="2" applyNumberFormat="1" applyFont="1" applyFill="1" applyAlignment="1">
      <alignment horizontal="right" wrapText="1"/>
    </xf>
    <xf numFmtId="166" fontId="44" fillId="21" borderId="0" xfId="3" applyNumberFormat="1" applyFont="1" applyFill="1" applyAlignment="1">
      <alignment horizontal="right" wrapText="1"/>
    </xf>
    <xf numFmtId="9" fontId="44" fillId="21" borderId="0" xfId="2" applyFont="1" applyFill="1" applyAlignment="1">
      <alignment horizontal="right" wrapText="1"/>
    </xf>
    <xf numFmtId="164" fontId="44" fillId="21" borderId="0" xfId="3" applyNumberFormat="1" applyFont="1" applyFill="1" applyAlignment="1">
      <alignment horizontal="right" wrapText="1"/>
    </xf>
    <xf numFmtId="10" fontId="41" fillId="21" borderId="0" xfId="2" applyNumberFormat="1" applyFont="1" applyFill="1" applyAlignment="1">
      <alignment horizontal="right" wrapText="1"/>
    </xf>
    <xf numFmtId="164" fontId="44" fillId="21" borderId="0" xfId="3" applyNumberFormat="1" applyFont="1" applyFill="1" applyAlignment="1">
      <alignment vertical="center"/>
    </xf>
    <xf numFmtId="0" fontId="12" fillId="21" borderId="0" xfId="0" applyFont="1" applyFill="1"/>
    <xf numFmtId="0" fontId="24" fillId="21" borderId="0" xfId="0" applyFont="1" applyFill="1"/>
    <xf numFmtId="0" fontId="24" fillId="21" borderId="0" xfId="0" applyFont="1" applyFill="1" applyAlignment="1">
      <alignment horizontal="left"/>
    </xf>
    <xf numFmtId="0" fontId="24" fillId="21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24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top"/>
    </xf>
    <xf numFmtId="0" fontId="12" fillId="21" borderId="1" xfId="0" applyFont="1" applyFill="1" applyBorder="1" applyAlignment="1">
      <alignment horizontal="center" vertical="center" wrapText="1"/>
    </xf>
    <xf numFmtId="0" fontId="12" fillId="21" borderId="1" xfId="0" applyFont="1" applyFill="1" applyBorder="1" applyAlignment="1">
      <alignment horizontal="center" vertical="center"/>
    </xf>
    <xf numFmtId="3" fontId="41" fillId="21" borderId="1" xfId="0" applyNumberFormat="1" applyFont="1" applyFill="1" applyBorder="1"/>
    <xf numFmtId="3" fontId="24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29" fillId="21" borderId="0" xfId="0" applyFont="1" applyFill="1" applyAlignment="1">
      <alignment vertical="top"/>
    </xf>
    <xf numFmtId="0" fontId="29" fillId="2" borderId="1" xfId="0" applyFont="1" applyFill="1" applyBorder="1" applyAlignment="1">
      <alignment vertical="top"/>
    </xf>
    <xf numFmtId="0" fontId="24" fillId="21" borderId="8" xfId="0" applyFont="1" applyFill="1" applyBorder="1" applyAlignment="1">
      <alignment vertical="top"/>
    </xf>
    <xf numFmtId="0" fontId="1" fillId="2" borderId="0" xfId="0" applyFont="1" applyFill="1" applyAlignment="1">
      <alignment vertical="top" wrapText="1"/>
    </xf>
    <xf numFmtId="0" fontId="29" fillId="21" borderId="0" xfId="0" applyFont="1" applyFill="1" applyAlignment="1">
      <alignment vertical="top" wrapText="1"/>
    </xf>
    <xf numFmtId="0" fontId="29" fillId="2" borderId="1" xfId="0" applyFont="1" applyFill="1" applyBorder="1" applyAlignment="1">
      <alignment vertical="top" wrapText="1"/>
    </xf>
    <xf numFmtId="0" fontId="24" fillId="21" borderId="8" xfId="0" applyFont="1" applyFill="1" applyBorder="1" applyAlignment="1">
      <alignment vertical="top" wrapText="1"/>
    </xf>
    <xf numFmtId="0" fontId="11" fillId="2" borderId="0" xfId="0" applyFont="1" applyFill="1" applyAlignment="1">
      <alignment vertical="top" wrapText="1"/>
    </xf>
    <xf numFmtId="164" fontId="11" fillId="2" borderId="0" xfId="3" applyNumberFormat="1" applyFont="1" applyFill="1" applyAlignment="1">
      <alignment horizontal="right" vertical="center"/>
    </xf>
    <xf numFmtId="164" fontId="12" fillId="2" borderId="1" xfId="3" applyNumberFormat="1" applyFont="1" applyFill="1" applyBorder="1" applyAlignment="1">
      <alignment horizontal="right" vertical="center"/>
    </xf>
    <xf numFmtId="164" fontId="12" fillId="21" borderId="1" xfId="3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4" fontId="44" fillId="21" borderId="0" xfId="3" applyNumberFormat="1" applyFont="1" applyFill="1" applyAlignment="1">
      <alignment horizontal="right" vertical="center"/>
    </xf>
    <xf numFmtId="0" fontId="44" fillId="21" borderId="0" xfId="0" applyFont="1" applyFill="1" applyAlignment="1">
      <alignment horizontal="right" vertical="center"/>
    </xf>
    <xf numFmtId="164" fontId="11" fillId="21" borderId="0" xfId="3" applyNumberFormat="1" applyFont="1" applyFill="1" applyAlignment="1">
      <alignment horizontal="right" vertical="center"/>
    </xf>
    <xf numFmtId="164" fontId="41" fillId="21" borderId="1" xfId="3" applyNumberFormat="1" applyFont="1" applyFill="1" applyBorder="1" applyAlignment="1">
      <alignment horizontal="right" vertical="center"/>
    </xf>
    <xf numFmtId="0" fontId="41" fillId="21" borderId="0" xfId="0" applyFont="1" applyFill="1" applyAlignment="1">
      <alignment horizontal="right" vertical="center"/>
    </xf>
    <xf numFmtId="3" fontId="41" fillId="21" borderId="1" xfId="0" applyNumberFormat="1" applyFont="1" applyFill="1" applyBorder="1" applyAlignment="1">
      <alignment horizontal="right" vertical="center"/>
    </xf>
  </cellXfs>
  <cellStyles count="7">
    <cellStyle name="Comma" xfId="1" builtinId="3"/>
    <cellStyle name="Gen_Black" xfId="6" xr:uid="{00000000-0005-0000-0000-000001000000}"/>
    <cellStyle name="Hyperlink" xfId="5" builtinId="8"/>
    <cellStyle name="Normal" xfId="0" builtinId="0"/>
    <cellStyle name="Normal_FSWS CONSO TERAPLAST IFRS FINAL" xfId="3" xr:uid="{00000000-0005-0000-0000-000004000000}"/>
    <cellStyle name="Normal_SHEET" xfId="4" xr:uid="{00000000-0005-0000-0000-000005000000}"/>
    <cellStyle name="Percent" xfId="2" builtinId="5"/>
  </cellStyles>
  <dxfs count="38"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</dxfs>
  <tableStyles count="0" defaultTableStyle="TableStyleMedium2" defaultPivotStyle="PivotStyleLight16"/>
  <colors>
    <mruColors>
      <color rgb="FF219EBC"/>
      <color rgb="FF6DCEE5"/>
      <color rgb="FFE0E5EC"/>
      <color rgb="FFD1D7E1"/>
      <color rgb="FF8BC167"/>
      <color rgb="FFFF6D6D"/>
      <color rgb="FFE3E7ED"/>
      <color rgb="FFE8E8E8"/>
      <color rgb="FFFDFDFD"/>
      <color rgb="FFFF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GB" sz="1100">
                <a:solidFill>
                  <a:schemeClr val="bg1"/>
                </a:solidFill>
                <a:latin typeface="Candara" panose="020E0502030303020204" pitchFamily="34" charset="0"/>
              </a:rPr>
              <a:t>Evoulutia</a:t>
            </a:r>
            <a:r>
              <a:rPr lang="en-GB" sz="1100" baseline="0">
                <a:solidFill>
                  <a:schemeClr val="bg1"/>
                </a:solidFill>
                <a:latin typeface="Candara" panose="020E0502030303020204" pitchFamily="34" charset="0"/>
              </a:rPr>
              <a:t> indicatorului Vanzari nete</a:t>
            </a:r>
            <a:endParaRPr lang="en-GB" sz="1100">
              <a:solidFill>
                <a:schemeClr val="bg1"/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2.613340434669072E-3"/>
          <c:y val="3.2884439733607716E-3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0147484922298856E-2"/>
          <c:y val="6.5016831099578313E-3"/>
          <c:w val="0.96834461831348051"/>
          <c:h val="0.8449411248972361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E0E5EC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'2.Sit. Rezultatului global'!$B$3:$H$3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'2.Sit. Rezultatului global'!$B$4:$H$4</c:f>
              <c:numCache>
                <c:formatCode>_(* #,##0_);_(* \(#,##0\);_(* "-"_);_(@_)</c:formatCode>
                <c:ptCount val="7"/>
                <c:pt idx="0">
                  <c:v>195140694.54999998</c:v>
                </c:pt>
                <c:pt idx="1">
                  <c:v>198460718.70000002</c:v>
                </c:pt>
                <c:pt idx="2">
                  <c:v>183857279.62999997</c:v>
                </c:pt>
                <c:pt idx="3">
                  <c:v>181146471.98999998</c:v>
                </c:pt>
                <c:pt idx="4">
                  <c:v>264737647</c:v>
                </c:pt>
                <c:pt idx="5">
                  <c:v>262801054</c:v>
                </c:pt>
                <c:pt idx="6">
                  <c:v>214230854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64-4C31-927E-67C5C57A7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38480"/>
        <c:axId val="659435200"/>
      </c:lineChart>
      <c:catAx>
        <c:axId val="65943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>
                    <a:lumMod val="7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59435200"/>
        <c:crosses val="autoZero"/>
        <c:auto val="1"/>
        <c:lblAlgn val="ctr"/>
        <c:lblOffset val="100"/>
        <c:noMultiLvlLbl val="0"/>
      </c:catAx>
      <c:valAx>
        <c:axId val="659435200"/>
        <c:scaling>
          <c:orientation val="minMax"/>
          <c:min val="130000000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65943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219EB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HiddenPage!$A$13</c:f>
          <c:strCache>
            <c:ptCount val="1"/>
            <c:pt idx="0">
              <c:v>Componenta indicatorului Datorii curente in 2023</c:v>
            </c:pt>
          </c:strCache>
        </c:strRef>
      </c:tx>
      <c:layout>
        <c:manualLayout>
          <c:xMode val="edge"/>
          <c:yMode val="edge"/>
          <c:x val="0.2677155095049536"/>
          <c:y val="2.3566384463851765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27512861250649062"/>
          <c:y val="0.23230925331302543"/>
          <c:w val="0.68434439567079042"/>
          <c:h val="0.621579163011093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HiddenPage!$Q$16</c:f>
                  <c:strCache>
                    <c:ptCount val="1"/>
                    <c:pt idx="0">
                      <c:v> 38,178,595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{364DADAF-7758-4E75-9B8A-E2C6FB7E89B4}</c15:txfldGUID>
                      <c15:f>HiddenPage!$Q$16</c15:f>
                      <c15:dlblFieldTableCache>
                        <c:ptCount val="1"/>
                        <c:pt idx="0">
                          <c:v> 38,178,595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28F-4EB9-B920-1C3101F2934D}"/>
                </c:ext>
              </c:extLst>
            </c:dLbl>
            <c:dLbl>
              <c:idx val="1"/>
              <c:tx>
                <c:strRef>
                  <c:f>HiddenPage!$Q$17</c:f>
                  <c:strCache>
                    <c:ptCount val="1"/>
                    <c:pt idx="0">
                      <c:v> 24,772,724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{714B9F8E-D0BB-4B88-94E8-C91ABFB1CF98}</c15:txfldGUID>
                      <c15:f>HiddenPage!$Q$17</c15:f>
                      <c15:dlblFieldTableCache>
                        <c:ptCount val="1"/>
                        <c:pt idx="0">
                          <c:v> 24,772,724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28F-4EB9-B920-1C3101F2934D}"/>
                </c:ext>
              </c:extLst>
            </c:dLbl>
            <c:dLbl>
              <c:idx val="2"/>
              <c:tx>
                <c:strRef>
                  <c:f>HiddenPage!$Q$18</c:f>
                  <c:strCache>
                    <c:ptCount val="1"/>
                    <c:pt idx="0">
                      <c:v> 6,127,609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{BE0173D2-3B01-48A4-9DDC-B038E8062B5E}</c15:txfldGUID>
                      <c15:f>HiddenPage!$Q$18</c15:f>
                      <c15:dlblFieldTableCache>
                        <c:ptCount val="1"/>
                        <c:pt idx="0">
                          <c:v> 6,127,609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28F-4EB9-B920-1C3101F2934D}"/>
                </c:ext>
              </c:extLst>
            </c:dLbl>
            <c:dLbl>
              <c:idx val="3"/>
              <c:tx>
                <c:strRef>
                  <c:f>HiddenPage!$Q$19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{91F152AB-57A6-459F-872C-63C81BB5DF8D}</c15:txfldGUID>
                      <c15:f>HiddenPage!$Q$19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28F-4EB9-B920-1C3101F2934D}"/>
                </c:ext>
              </c:extLst>
            </c:dLbl>
            <c:dLbl>
              <c:idx val="4"/>
              <c:tx>
                <c:strRef>
                  <c:f>HiddenPage!$Q$20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{3FCB64C6-6C39-4F9F-BE0D-481C2A6CF0B3}</c15:txfldGUID>
                      <c15:f>HiddenPage!$Q$20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28F-4EB9-B920-1C3101F2934D}"/>
                </c:ext>
              </c:extLst>
            </c:dLbl>
            <c:dLbl>
              <c:idx val="5"/>
              <c:tx>
                <c:strRef>
                  <c:f>HiddenPage!$Q$21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{CFA1477C-C627-43ED-861B-EE78BAB0B7F7}</c15:txfldGUID>
                      <c15:f>HiddenPage!$Q$21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28F-4EB9-B920-1C3101F293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HiddenPage!$N$16:$N$21</c:f>
              <c:strCache>
                <c:ptCount val="3"/>
                <c:pt idx="0">
                  <c:v>Alte datorii financiare curente</c:v>
                </c:pt>
                <c:pt idx="1">
                  <c:v>Datorii comerciale </c:v>
                </c:pt>
                <c:pt idx="2">
                  <c:v>Alte datorii nefinanciare curente</c:v>
                </c:pt>
              </c:strCache>
            </c:strRef>
          </c:cat>
          <c:val>
            <c:numRef>
              <c:f>HiddenPage!$R$16:$R$21</c:f>
              <c:numCache>
                <c:formatCode>0%</c:formatCode>
                <c:ptCount val="6"/>
                <c:pt idx="0">
                  <c:v>0.55268076829449353</c:v>
                </c:pt>
                <c:pt idx="1">
                  <c:v>0.35861477178684648</c:v>
                </c:pt>
                <c:pt idx="2">
                  <c:v>8.8704459918659995E-2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8F-4EB9-B920-1C3101F29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481667280"/>
        <c:axId val="481664000"/>
      </c:barChart>
      <c:catAx>
        <c:axId val="481667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481664000"/>
        <c:crosses val="autoZero"/>
        <c:auto val="1"/>
        <c:lblAlgn val="ctr"/>
        <c:lblOffset val="100"/>
        <c:noMultiLvlLbl val="0"/>
      </c:catAx>
      <c:valAx>
        <c:axId val="481664000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48166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HiddenPage!$A$63</c:f>
          <c:strCache>
            <c:ptCount val="1"/>
            <c:pt idx="0">
              <c:v>Evolutie vanzari sector "Polimeri reciclati si compounduri"</c:v>
            </c:pt>
          </c:strCache>
        </c:strRef>
      </c:tx>
      <c:overlay val="0"/>
      <c:spPr>
        <a:solidFill>
          <a:schemeClr val="tx2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7182864793753661E-2"/>
          <c:y val="0.19539370078740156"/>
          <c:w val="0.94563427041249271"/>
          <c:h val="0.69720691163604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HiddenPage!$B$75:$H$75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HiddenPage!$B$76:$H$76</c:f>
              <c:numCache>
                <c:formatCode>#,##0</c:formatCode>
                <c:ptCount val="7"/>
                <c:pt idx="0">
                  <c:v>32045842.160000008</c:v>
                </c:pt>
                <c:pt idx="1">
                  <c:v>34431228.289999992</c:v>
                </c:pt>
                <c:pt idx="2">
                  <c:v>30961367.02</c:v>
                </c:pt>
                <c:pt idx="3">
                  <c:v>23154618.529999994</c:v>
                </c:pt>
                <c:pt idx="4">
                  <c:v>38271305.11999999</c:v>
                </c:pt>
                <c:pt idx="5">
                  <c:v>46502131.649999984</c:v>
                </c:pt>
                <c:pt idx="6">
                  <c:v>37905250.480000019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A-4404-A158-C18A70A30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27"/>
        <c:axId val="107431983"/>
        <c:axId val="374026095"/>
      </c:barChart>
      <c:catAx>
        <c:axId val="107431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374026095"/>
        <c:crosses val="autoZero"/>
        <c:auto val="1"/>
        <c:lblAlgn val="ctr"/>
        <c:lblOffset val="100"/>
        <c:noMultiLvlLbl val="0"/>
      </c:catAx>
      <c:valAx>
        <c:axId val="37402609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7431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1610869214704E-2"/>
          <c:y val="0.13906483144768483"/>
          <c:w val="0.91308389130785295"/>
          <c:h val="0.745945506780782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Snapshots!$A$8</c:f>
              <c:strCache>
                <c:ptCount val="1"/>
                <c:pt idx="0">
                  <c:v>EBITDA Operational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Snapshots!$B$4:$H$4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Snapshots!$B$8:$H$8</c:f>
              <c:numCache>
                <c:formatCode>_(* #,##0_);_(* \(#,##0\);_(* "-"_);_(@_)</c:formatCode>
                <c:ptCount val="7"/>
                <c:pt idx="0">
                  <c:v>12182514.040000001</c:v>
                </c:pt>
                <c:pt idx="1">
                  <c:v>11384242.279999956</c:v>
                </c:pt>
                <c:pt idx="2">
                  <c:v>12318776.420000032</c:v>
                </c:pt>
                <c:pt idx="3">
                  <c:v>12374753.540000008</c:v>
                </c:pt>
                <c:pt idx="4">
                  <c:v>13987047.550000012</c:v>
                </c:pt>
                <c:pt idx="5">
                  <c:v>15025300.380000001</c:v>
                </c:pt>
                <c:pt idx="6">
                  <c:v>4873275.8999999762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3-4A58-994C-3776C234351D}"/>
            </c:ext>
          </c:extLst>
        </c:ser>
        <c:ser>
          <c:idx val="2"/>
          <c:order val="1"/>
          <c:tx>
            <c:strRef>
              <c:f>Snapshots!$A$10</c:f>
              <c:strCache>
                <c:ptCount val="1"/>
                <c:pt idx="0">
                  <c:v>Profit net</c:v>
                </c:pt>
              </c:strCache>
            </c:strRef>
          </c:tx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19EBC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Snapshots!$B$4:$H$4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Snapshots!$B$10:$H$10</c:f>
              <c:numCache>
                <c:formatCode>_(* #,##0_);_(* \(#,##0\);_(* "-"_);_(@_)</c:formatCode>
                <c:ptCount val="7"/>
                <c:pt idx="0">
                  <c:v>4798065.6499999948</c:v>
                </c:pt>
                <c:pt idx="1">
                  <c:v>4800354.1700000176</c:v>
                </c:pt>
                <c:pt idx="2">
                  <c:v>370097.9599999818</c:v>
                </c:pt>
                <c:pt idx="3">
                  <c:v>869105.43999996176</c:v>
                </c:pt>
                <c:pt idx="4">
                  <c:v>-1447458</c:v>
                </c:pt>
                <c:pt idx="5">
                  <c:v>51471690</c:v>
                </c:pt>
                <c:pt idx="6">
                  <c:v>3313809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22-4C64-9693-E19E33DD6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92"/>
        <c:axId val="1053619087"/>
        <c:axId val="1180443935"/>
      </c:barChart>
      <c:catAx>
        <c:axId val="10536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180443935"/>
        <c:crosses val="autoZero"/>
        <c:auto val="1"/>
        <c:lblAlgn val="ctr"/>
        <c:lblOffset val="100"/>
        <c:noMultiLvlLbl val="0"/>
      </c:catAx>
      <c:valAx>
        <c:axId val="118044393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crossAx val="1053619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896375731681975"/>
          <c:y val="2.7677358941596456E-2"/>
          <c:w val="0.43344025693212351"/>
          <c:h val="7.1911030760341541E-2"/>
        </c:manualLayout>
      </c:layout>
      <c:overlay val="0"/>
      <c:spPr>
        <a:noFill/>
        <a:ln>
          <a:solidFill>
            <a:schemeClr val="tx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sz="1100">
                <a:solidFill>
                  <a:schemeClr val="bg1"/>
                </a:solidFill>
                <a:latin typeface="Candara" panose="020E0502030303020204" pitchFamily="34" charset="0"/>
              </a:rPr>
              <a:t>Evolutia indicatorului Vanzari nete</a:t>
            </a:r>
            <a:endParaRPr lang="ro-RO" sz="1100">
              <a:solidFill>
                <a:schemeClr val="bg1"/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0.29054614111197696"/>
          <c:y val="0"/>
        </c:manualLayout>
      </c:layout>
      <c:overlay val="0"/>
      <c:spPr>
        <a:solidFill>
          <a:schemeClr val="bg2">
            <a:lumMod val="5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7080256031511572E-2"/>
          <c:y val="0.27142420541182366"/>
          <c:w val="0.94583948793697681"/>
          <c:h val="0.62301717963609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19EBC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Snapshots!$B$4:$H$4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Snapshots!$B$5:$H$5</c:f>
              <c:numCache>
                <c:formatCode>_(* #,##0_);_(* \(#,##0\);_(* "-"_);_(@_)</c:formatCode>
                <c:ptCount val="7"/>
                <c:pt idx="0">
                  <c:v>195140694.54999998</c:v>
                </c:pt>
                <c:pt idx="1">
                  <c:v>198460718.70000002</c:v>
                </c:pt>
                <c:pt idx="2">
                  <c:v>183857279.62999997</c:v>
                </c:pt>
                <c:pt idx="3">
                  <c:v>181146471.98999998</c:v>
                </c:pt>
                <c:pt idx="4">
                  <c:v>264737647</c:v>
                </c:pt>
                <c:pt idx="5">
                  <c:v>262801054</c:v>
                </c:pt>
                <c:pt idx="6">
                  <c:v>214230854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A-4B65-964D-37159381A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-27"/>
        <c:axId val="60763824"/>
        <c:axId val="59902576"/>
      </c:barChart>
      <c:catAx>
        <c:axId val="6076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9902576"/>
        <c:crosses val="autoZero"/>
        <c:auto val="1"/>
        <c:lblAlgn val="ctr"/>
        <c:lblOffset val="100"/>
        <c:noMultiLvlLbl val="0"/>
      </c:catAx>
      <c:valAx>
        <c:axId val="59902576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60763824"/>
        <c:crosses val="autoZero"/>
        <c:crossBetween val="between"/>
      </c:valAx>
      <c:spPr>
        <a:solidFill>
          <a:schemeClr val="bg2">
            <a:lumMod val="7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HiddenPage!$A$63</c:f>
          <c:strCache>
            <c:ptCount val="1"/>
            <c:pt idx="0">
              <c:v>Evolutie vanzari sector "Polimeri reciclati si compounduri"</c:v>
            </c:pt>
          </c:strCache>
        </c:strRef>
      </c:tx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7182864793753661E-2"/>
          <c:y val="0.19539370078740156"/>
          <c:w val="0.94563427041249271"/>
          <c:h val="0.69720691163604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HiddenPage!$B$75:$H$75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HiddenPage!$B$76:$H$76</c:f>
              <c:numCache>
                <c:formatCode>#,##0</c:formatCode>
                <c:ptCount val="7"/>
                <c:pt idx="0">
                  <c:v>32045842.160000008</c:v>
                </c:pt>
                <c:pt idx="1">
                  <c:v>34431228.289999992</c:v>
                </c:pt>
                <c:pt idx="2">
                  <c:v>30961367.02</c:v>
                </c:pt>
                <c:pt idx="3">
                  <c:v>23154618.529999994</c:v>
                </c:pt>
                <c:pt idx="4">
                  <c:v>38271305.11999999</c:v>
                </c:pt>
                <c:pt idx="5">
                  <c:v>46502131.649999984</c:v>
                </c:pt>
                <c:pt idx="6">
                  <c:v>37905250.480000019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1-414A-BCD2-866E04ED5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27"/>
        <c:axId val="107431983"/>
        <c:axId val="374026095"/>
      </c:barChart>
      <c:catAx>
        <c:axId val="107431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374026095"/>
        <c:crosses val="autoZero"/>
        <c:auto val="1"/>
        <c:lblAlgn val="ctr"/>
        <c:lblOffset val="100"/>
        <c:noMultiLvlLbl val="0"/>
      </c:catAx>
      <c:valAx>
        <c:axId val="37402609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7431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</c:f>
          <c:strCache>
            <c:ptCount val="1"/>
            <c:pt idx="0">
              <c:v>Active pe termen lung vs. Active curente</c:v>
            </c:pt>
          </c:strCache>
        </c:strRef>
      </c:tx>
      <c:layout>
        <c:manualLayout>
          <c:xMode val="edge"/>
          <c:yMode val="edge"/>
          <c:x val="0.60005873942750176"/>
          <c:y val="1.4362797370776868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15939242098869871"/>
          <c:y val="0.11303977693424487"/>
          <c:w val="0.77828418988610026"/>
          <c:h val="0.66846004422349148"/>
        </c:manualLayout>
      </c:layout>
      <c:lineChart>
        <c:grouping val="standard"/>
        <c:varyColors val="0"/>
        <c:ser>
          <c:idx val="0"/>
          <c:order val="0"/>
          <c:tx>
            <c:strRef>
              <c:f>HiddenPage!$A$4</c:f>
              <c:strCache>
                <c:ptCount val="1"/>
                <c:pt idx="0">
                  <c:v>Active pe termen lung</c:v>
                </c:pt>
              </c:strCache>
            </c:strRef>
          </c:tx>
          <c:spPr>
            <a:ln w="190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HiddenPage!$B$3:$H$3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HiddenPage!$B$4:$H$4</c:f>
              <c:numCache>
                <c:formatCode>_-* #,##0_-;\-* #,##0_-;_-* "-"??_-;_-@_-</c:formatCode>
                <c:ptCount val="7"/>
                <c:pt idx="0">
                  <c:v>210024646.26000002</c:v>
                </c:pt>
                <c:pt idx="1">
                  <c:v>170408687.35000002</c:v>
                </c:pt>
                <c:pt idx="2">
                  <c:v>163480244.93000001</c:v>
                </c:pt>
                <c:pt idx="3">
                  <c:v>152917930.06</c:v>
                </c:pt>
                <c:pt idx="4">
                  <c:v>138364502</c:v>
                </c:pt>
                <c:pt idx="5">
                  <c:v>133313884</c:v>
                </c:pt>
                <c:pt idx="6">
                  <c:v>118936705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41-44B5-AFF6-41EB06D27B78}"/>
            </c:ext>
          </c:extLst>
        </c:ser>
        <c:ser>
          <c:idx val="1"/>
          <c:order val="1"/>
          <c:tx>
            <c:strRef>
              <c:f>HiddenPage!$A$5</c:f>
              <c:strCache>
                <c:ptCount val="1"/>
                <c:pt idx="0">
                  <c:v>Active curente</c:v>
                </c:pt>
              </c:strCache>
            </c:strRef>
          </c:tx>
          <c:spPr>
            <a:ln w="19050" cap="rnd">
              <a:solidFill>
                <a:srgbClr val="219EBC"/>
              </a:solidFill>
              <a:round/>
            </a:ln>
            <a:effectLst/>
          </c:spPr>
          <c:marker>
            <c:symbol val="none"/>
          </c:marker>
          <c:cat>
            <c:numRef>
              <c:f>HiddenPage!$B$3:$H$3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HiddenPage!$B$5:$H$5</c:f>
              <c:numCache>
                <c:formatCode>_-* #,##0_-;\-* #,##0_-;_-* "-"??_-;_-@_-</c:formatCode>
                <c:ptCount val="7"/>
                <c:pt idx="0">
                  <c:v>59667442.590000004</c:v>
                </c:pt>
                <c:pt idx="1">
                  <c:v>82932100.889999986</c:v>
                </c:pt>
                <c:pt idx="2">
                  <c:v>82714659.589999989</c:v>
                </c:pt>
                <c:pt idx="3">
                  <c:v>78436250.86999999</c:v>
                </c:pt>
                <c:pt idx="4">
                  <c:v>105658368</c:v>
                </c:pt>
                <c:pt idx="5">
                  <c:v>146753533</c:v>
                </c:pt>
                <c:pt idx="6">
                  <c:v>122197548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1-44B5-AFF6-41EB06D27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972048"/>
        <c:axId val="608969424"/>
      </c:lineChart>
      <c:catAx>
        <c:axId val="60897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>
                    <a:lumMod val="50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69424"/>
        <c:crosses val="autoZero"/>
        <c:auto val="1"/>
        <c:lblAlgn val="ctr"/>
        <c:lblOffset val="100"/>
        <c:noMultiLvlLbl val="0"/>
      </c:catAx>
      <c:valAx>
        <c:axId val="60896942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7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49623012157207E-3"/>
          <c:y val="0.89729740841549133"/>
          <c:w val="0.99235037698784279"/>
          <c:h val="9.3222450251160854E-2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HiddenPage!$A$7</c:f>
          <c:strCache>
            <c:ptCount val="1"/>
            <c:pt idx="0">
              <c:v>Active pe termen lung vs. Active curente</c:v>
            </c:pt>
          </c:strCache>
        </c:strRef>
      </c:tx>
      <c:layout>
        <c:manualLayout>
          <c:xMode val="edge"/>
          <c:yMode val="edge"/>
          <c:x val="0.65069362485553972"/>
          <c:y val="1.388879988147983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3.064778043816015E-2"/>
          <c:y val="0.16592265446590568"/>
          <c:w val="0.93870443912367973"/>
          <c:h val="0.557198649783199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HiddenPage!$A$10</c:f>
              <c:strCache>
                <c:ptCount val="1"/>
                <c:pt idx="0">
                  <c:v>Active pe termen lung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9BA3F2A-A14A-4299-9F57-144B714D626D}" type="CELLRANGE">
                      <a:rPr lang="en-US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2683-4851-AD74-6A570B31319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3F34053-0F35-47C3-B2AC-185A1D6BD462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683-4851-AD74-6A570B31319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2973BB1-116D-488E-8421-00745336C660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683-4851-AD74-6A570B31319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7A8632D-64DB-422E-AED6-B525691F90D9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683-4851-AD74-6A570B31319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9A3449D-029D-4104-B7EF-F59B3D75A3C6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683-4851-AD74-6A570B31319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FC0C96A-3F10-4EC7-BC7D-07C9CA4CB2B9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683-4851-AD74-6A570B31319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1C1EDCB-0484-4631-BEAC-D7009AD739FB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683-4851-AD74-6A570B3131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HiddenPage!$B$9:$H$9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HiddenPage!$B$10:$H$10</c:f>
              <c:numCache>
                <c:formatCode>_-* #,##0_-;\-* #,##0_-;_-* "-"??_-;_-@_-</c:formatCode>
                <c:ptCount val="7"/>
                <c:pt idx="0">
                  <c:v>210024646.26000002</c:v>
                </c:pt>
                <c:pt idx="1">
                  <c:v>170408687.35000002</c:v>
                </c:pt>
                <c:pt idx="2">
                  <c:v>163480244.93000001</c:v>
                </c:pt>
                <c:pt idx="3">
                  <c:v>152917930.06</c:v>
                </c:pt>
                <c:pt idx="4">
                  <c:v>138364502</c:v>
                </c:pt>
                <c:pt idx="5">
                  <c:v>133313884</c:v>
                </c:pt>
                <c:pt idx="6">
                  <c:v>118936705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HiddenPage!$B$83:$H$83</c15:f>
                <c15:dlblRangeCache>
                  <c:ptCount val="7"/>
                  <c:pt idx="0">
                    <c:v>78%</c:v>
                  </c:pt>
                  <c:pt idx="1">
                    <c:v>67%</c:v>
                  </c:pt>
                  <c:pt idx="2">
                    <c:v>66%</c:v>
                  </c:pt>
                  <c:pt idx="3">
                    <c:v>66%</c:v>
                  </c:pt>
                  <c:pt idx="4">
                    <c:v>57%</c:v>
                  </c:pt>
                  <c:pt idx="5">
                    <c:v>48%</c:v>
                  </c:pt>
                  <c:pt idx="6">
                    <c:v>49%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414-4242-B919-D95F59CFEF20}"/>
            </c:ext>
          </c:extLst>
        </c:ser>
        <c:ser>
          <c:idx val="1"/>
          <c:order val="1"/>
          <c:tx>
            <c:strRef>
              <c:f>HiddenPage!$A$11</c:f>
              <c:strCache>
                <c:ptCount val="1"/>
                <c:pt idx="0">
                  <c:v>Active curente</c:v>
                </c:pt>
              </c:strCache>
            </c:strRef>
          </c:tx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B5A929C-0913-4BE9-BB6F-0EF5C9E5CE26}" type="CELLRANGE">
                      <a:rPr lang="en-US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683-4851-AD74-6A570B31319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89FAA94-6C67-4786-8F00-C12082565192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683-4851-AD74-6A570B31319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719EF66-3AD1-4CF4-9BB2-FCC7EFC96613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683-4851-AD74-6A570B31319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3CC6885-BB6B-4793-BCA4-5750E7A285B3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683-4851-AD74-6A570B31319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AC4BA92-24FA-4048-B5F3-AE313BF79608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683-4851-AD74-6A570B31319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081A898-D9B7-4332-837B-DD08629126CE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683-4851-AD74-6A570B31319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8250B8C-E47F-437A-83C2-549897C3A261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683-4851-AD74-6A570B3131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HiddenPage!$B$9:$H$9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HiddenPage!$B$11:$H$11</c:f>
              <c:numCache>
                <c:formatCode>_-* #,##0_-;\-* #,##0_-;_-* "-"??_-;_-@_-</c:formatCode>
                <c:ptCount val="7"/>
                <c:pt idx="0">
                  <c:v>59667442.590000004</c:v>
                </c:pt>
                <c:pt idx="1">
                  <c:v>82932100.889999986</c:v>
                </c:pt>
                <c:pt idx="2">
                  <c:v>82714659.589999989</c:v>
                </c:pt>
                <c:pt idx="3">
                  <c:v>78436250.86999999</c:v>
                </c:pt>
                <c:pt idx="4">
                  <c:v>105658368</c:v>
                </c:pt>
                <c:pt idx="5">
                  <c:v>146753533</c:v>
                </c:pt>
                <c:pt idx="6">
                  <c:v>122197548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HiddenPage!$B$84:$H$84</c15:f>
                <c15:dlblRangeCache>
                  <c:ptCount val="7"/>
                  <c:pt idx="0">
                    <c:v>22%</c:v>
                  </c:pt>
                  <c:pt idx="1">
                    <c:v>33%</c:v>
                  </c:pt>
                  <c:pt idx="2">
                    <c:v>34%</c:v>
                  </c:pt>
                  <c:pt idx="3">
                    <c:v>34%</c:v>
                  </c:pt>
                  <c:pt idx="4">
                    <c:v>43%</c:v>
                  </c:pt>
                  <c:pt idx="5">
                    <c:v>52%</c:v>
                  </c:pt>
                  <c:pt idx="6">
                    <c:v>51%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6414-4242-B919-D95F59CFE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17263200"/>
        <c:axId val="617269760"/>
      </c:barChart>
      <c:lineChart>
        <c:grouping val="stacked"/>
        <c:varyColors val="0"/>
        <c:ser>
          <c:idx val="2"/>
          <c:order val="2"/>
          <c:tx>
            <c:strRef>
              <c:f>HiddenPage!$A$90</c:f>
              <c:strCache>
                <c:ptCount val="1"/>
                <c:pt idx="0">
                  <c:v>Total Active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HiddenPage!$B$86:$H$86</c:f>
              <c:numCache>
                <c:formatCode>_-* #,##0_-;\-* #,##0_-;_-* "-"??_-;_-@_-</c:formatCode>
                <c:ptCount val="7"/>
                <c:pt idx="0">
                  <c:v>269692088.85000002</c:v>
                </c:pt>
                <c:pt idx="1">
                  <c:v>253340788.24000001</c:v>
                </c:pt>
                <c:pt idx="2">
                  <c:v>246194904.51999998</c:v>
                </c:pt>
                <c:pt idx="3">
                  <c:v>231354180.93000001</c:v>
                </c:pt>
                <c:pt idx="4">
                  <c:v>244022870</c:v>
                </c:pt>
                <c:pt idx="5">
                  <c:v>280067417</c:v>
                </c:pt>
                <c:pt idx="6">
                  <c:v>241134253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683-4851-AD74-6A570B313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63200"/>
        <c:axId val="617269760"/>
      </c:lineChart>
      <c:catAx>
        <c:axId val="61726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17269760"/>
        <c:crosses val="autoZero"/>
        <c:auto val="1"/>
        <c:lblAlgn val="ctr"/>
        <c:lblOffset val="100"/>
        <c:noMultiLvlLbl val="0"/>
      </c:catAx>
      <c:valAx>
        <c:axId val="617269760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61726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322358851093357E-3"/>
          <c:y val="0.84474191826664036"/>
          <c:w val="0.99465054306969369"/>
          <c:h val="0.12773138554772623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sz="1000"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HiddenPage!$D$7</c:f>
          <c:strCache>
            <c:ptCount val="1"/>
            <c:pt idx="0">
              <c:v>2023 structura indicatorului Active</c:v>
            </c:pt>
          </c:strCache>
        </c:strRef>
      </c:tx>
      <c:layout>
        <c:manualLayout>
          <c:xMode val="edge"/>
          <c:yMode val="edge"/>
          <c:x val="1.518478811886635E-2"/>
          <c:y val="9.0947234254817409E-3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1" i="0" u="none" strike="noStrike" kern="1200" cap="all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20770234213799166"/>
          <c:y val="9.0799004775523107E-2"/>
          <c:w val="0.65455547909559686"/>
          <c:h val="0.874458810806874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E4-492C-AE55-B7CC0929C209}"/>
              </c:ext>
            </c:extLst>
          </c:dPt>
          <c:dPt>
            <c:idx val="1"/>
            <c:bubble3D val="0"/>
            <c:spPr>
              <a:solidFill>
                <a:srgbClr val="219EBC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E4-492C-AE55-B7CC0929C209}"/>
              </c:ext>
            </c:extLst>
          </c:dPt>
          <c:dLbls>
            <c:dLbl>
              <c:idx val="0"/>
              <c:layout>
                <c:manualLayout>
                  <c:x val="-4.7042351080399822E-2"/>
                  <c:y val="-4.23749631931880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58094831901597"/>
                      <c:h val="0.41437213209245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DE4-492C-AE55-B7CC0929C209}"/>
                </c:ext>
              </c:extLst>
            </c:dLbl>
            <c:dLbl>
              <c:idx val="1"/>
              <c:layout>
                <c:manualLayout>
                  <c:x val="2.0161007605885625E-2"/>
                  <c:y val="4.23747546560095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E4-492C-AE55-B7CC0929C2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HiddenPage!$A$10:$A$11</c:f>
              <c:strCache>
                <c:ptCount val="2"/>
                <c:pt idx="0">
                  <c:v>Active pe termen lung</c:v>
                </c:pt>
                <c:pt idx="1">
                  <c:v>Active curente</c:v>
                </c:pt>
              </c:strCache>
            </c:strRef>
          </c:cat>
          <c:val>
            <c:numRef>
              <c:f>HiddenPage!$I$10:$I$11</c:f>
              <c:numCache>
                <c:formatCode>_-* #,##0_-;\-* #,##0_-;_-* "-"??_-;_-@_-</c:formatCode>
                <c:ptCount val="2"/>
                <c:pt idx="0">
                  <c:v>118936705</c:v>
                </c:pt>
                <c:pt idx="1">
                  <c:v>122197548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E4-492C-AE55-B7CC0929C20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HiddenPage!$D$23</c:f>
          <c:strCache>
            <c:ptCount val="1"/>
            <c:pt idx="0">
              <c:v>Evolutia indicatorului Datorii curente in perioada 2017-2023</c:v>
            </c:pt>
          </c:strCache>
        </c:strRef>
      </c:tx>
      <c:layout>
        <c:manualLayout>
          <c:xMode val="edge"/>
          <c:yMode val="edge"/>
          <c:x val="7.6433489292099498E-3"/>
          <c:y val="1.3414945378561496E-2"/>
        </c:manualLayout>
      </c:layout>
      <c:overlay val="0"/>
      <c:spPr>
        <a:solidFill>
          <a:schemeClr val="bg2">
            <a:lumMod val="50000"/>
          </a:schemeClr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3.0482415036314728E-2"/>
          <c:y val="5.4561797984324818E-2"/>
          <c:w val="0.96310057260200999"/>
          <c:h val="0.79568798134078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HiddenPage!$B$32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HiddenPage!$A$33:$A$40</c:f>
              <c:numCache>
                <c:formatCode>General</c:formatCode>
                <c:ptCount val="8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HiddenPage!$B$33:$B$40</c:f>
              <c:numCache>
                <c:formatCode>_-* #,##0\ _l_e_i_-;\-* #,##0\ _l_e_i_-;_-* "-"??\ _l_e_i_-;_-@_-</c:formatCode>
                <c:ptCount val="8"/>
                <c:pt idx="1">
                  <c:v>72038788.700000003</c:v>
                </c:pt>
                <c:pt idx="2">
                  <c:v>72038788.700000003</c:v>
                </c:pt>
                <c:pt idx="3">
                  <c:v>67784319.150000006</c:v>
                </c:pt>
                <c:pt idx="4">
                  <c:v>67784319.150000006</c:v>
                </c:pt>
                <c:pt idx="5">
                  <c:v>88827897</c:v>
                </c:pt>
                <c:pt idx="6">
                  <c:v>69078928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4-4432-B489-6D95C92EC704}"/>
            </c:ext>
          </c:extLst>
        </c:ser>
        <c:ser>
          <c:idx val="1"/>
          <c:order val="1"/>
          <c:tx>
            <c:strRef>
              <c:f>HiddenPage!$C$32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HiddenPage!$A$33:$A$40</c:f>
              <c:numCache>
                <c:formatCode>General</c:formatCode>
                <c:ptCount val="8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HiddenPage!$C$33:$C$40</c:f>
              <c:numCache>
                <c:formatCode>General</c:formatCode>
                <c:ptCount val="8"/>
                <c:pt idx="7" formatCode="_-* #,##0\ _l_e_i_-;\-* #,##0\ _l_e_i_-;_-* &quot;-&quot;??\ _l_e_i_-;_-@_-">
                  <c:v>69078928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E4-4432-B489-6D95C92EC704}"/>
            </c:ext>
          </c:extLst>
        </c:ser>
        <c:ser>
          <c:idx val="2"/>
          <c:order val="2"/>
          <c:tx>
            <c:strRef>
              <c:f>HiddenPage!$D$32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3.8647342995169081E-3"/>
                  <c:y val="-2.87253087687963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EA-4DED-B0E7-85DFAB9BD3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HiddenPage!$A$33:$A$40</c:f>
              <c:numCache>
                <c:formatCode>General</c:formatCode>
                <c:ptCount val="8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HiddenPage!$D$33:$D$40</c:f>
              <c:numCache>
                <c:formatCode>_-* #,##0\ _l_e_i_-;\-* #,##0\ _l_e_i_-;_-* "-"??\ _l_e_i_-;_-@_-</c:formatCode>
                <c:ptCount val="8"/>
                <c:pt idx="1">
                  <c:v>3185220.8199999928</c:v>
                </c:pt>
                <c:pt idx="2">
                  <c:v>0</c:v>
                </c:pt>
                <c:pt idx="3">
                  <c:v>7143296.5900000036</c:v>
                </c:pt>
                <c:pt idx="4">
                  <c:v>0</c:v>
                </c:pt>
                <c:pt idx="5">
                  <c:v>0</c:v>
                </c:pt>
                <c:pt idx="6">
                  <c:v>30464921.019999996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E4-4432-B489-6D95C92EC704}"/>
            </c:ext>
          </c:extLst>
        </c:ser>
        <c:ser>
          <c:idx val="3"/>
          <c:order val="3"/>
          <c:tx>
            <c:strRef>
              <c:f>HiddenPage!$E$32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rgbClr val="8BC167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2.1219924442456078E-3"/>
                  <c:y val="-3.50833249966031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E4-4432-B489-6D95C92EC704}"/>
                </c:ext>
              </c:extLst>
            </c:dLbl>
            <c:dLbl>
              <c:idx val="6"/>
              <c:layout>
                <c:manualLayout>
                  <c:x val="2.7778203188538737E-3"/>
                  <c:y val="-4.58225220745704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EA-4DED-B0E7-85DFAB9BD3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HiddenPage!$A$33:$A$40</c:f>
              <c:numCache>
                <c:formatCode>General</c:formatCode>
                <c:ptCount val="8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HiddenPage!$E$33:$E$40</c:f>
              <c:numCache>
                <c:formatCode>_-* #,##0\ _l_e_i_-;\-* #,##0\ _l_e_i_-;_-* "-"??\ _l_e_i_-;_-@_-</c:formatCode>
                <c:ptCount val="8"/>
                <c:pt idx="1">
                  <c:v>0</c:v>
                </c:pt>
                <c:pt idx="2">
                  <c:v>2888827.0400000066</c:v>
                </c:pt>
                <c:pt idx="3">
                  <c:v>0</c:v>
                </c:pt>
                <c:pt idx="4">
                  <c:v>21043577.849999994</c:v>
                </c:pt>
                <c:pt idx="5">
                  <c:v>10715952.019999996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E4-4432-B489-6D95C92EC704}"/>
            </c:ext>
          </c:extLst>
        </c:ser>
        <c:ser>
          <c:idx val="4"/>
          <c:order val="4"/>
          <c:tx>
            <c:strRef>
              <c:f>HiddenPage!$F$32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19E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5E4-4432-B489-6D95C92EC704}"/>
              </c:ext>
            </c:extLst>
          </c:dPt>
          <c:dLbls>
            <c:dLbl>
              <c:idx val="0"/>
              <c:layout>
                <c:manualLayout>
                  <c:x val="-2.7777777777777779E-3"/>
                  <c:y val="-7.4074074074074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E4-4432-B489-6D95C92EC7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HiddenPage!$A$33:$A$40</c:f>
              <c:numCache>
                <c:formatCode>General</c:formatCode>
                <c:ptCount val="8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HiddenPage!$F$33:$F$40</c:f>
              <c:numCache>
                <c:formatCode>_-* #,##0_-;\-* #,##0_-;_-* "-"??_-;_-@_-</c:formatCode>
                <c:ptCount val="8"/>
                <c:pt idx="0">
                  <c:v>75224009.519999996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5E4-4432-B489-6D95C92EC7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"/>
        <c:overlap val="100"/>
        <c:axId val="573463936"/>
        <c:axId val="573462624"/>
      </c:barChart>
      <c:catAx>
        <c:axId val="5734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73462624"/>
        <c:crosses val="autoZero"/>
        <c:auto val="0"/>
        <c:lblAlgn val="ctr"/>
        <c:lblOffset val="100"/>
        <c:noMultiLvlLbl val="0"/>
      </c:catAx>
      <c:valAx>
        <c:axId val="573462624"/>
        <c:scaling>
          <c:orientation val="minMax"/>
        </c:scaling>
        <c:delete val="1"/>
        <c:axPos val="l"/>
        <c:numFmt formatCode="_-* #,##0\ _l_e_i_-;\-* #,##0\ _l_e_i_-;_-* &quot;-&quot;??\ _l_e_i_-;_-@_-" sourceLinked="1"/>
        <c:majorTickMark val="out"/>
        <c:minorTickMark val="none"/>
        <c:tickLblPos val="nextTo"/>
        <c:crossAx val="57346393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2.Sit. Rezultatului global'!A1"/><Relationship Id="rId7" Type="http://schemas.openxmlformats.org/officeDocument/2006/relationships/hyperlink" Target="#Grafice!A1"/><Relationship Id="rId2" Type="http://schemas.openxmlformats.org/officeDocument/2006/relationships/hyperlink" Target="#'1.Pozitia Financiara'!A1"/><Relationship Id="rId1" Type="http://schemas.openxmlformats.org/officeDocument/2006/relationships/hyperlink" Target="#Snapshots!A1"/><Relationship Id="rId6" Type="http://schemas.openxmlformats.org/officeDocument/2006/relationships/chart" Target="../charts/chart1.xml"/><Relationship Id="rId5" Type="http://schemas.openxmlformats.org/officeDocument/2006/relationships/hyperlink" Target="#'4.Indicatori financiari'!A1"/><Relationship Id="rId4" Type="http://schemas.openxmlformats.org/officeDocument/2006/relationships/hyperlink" Target="#'3.Fluxurile de numerar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uprins!A1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uprins!A1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hyperlink" Target="#Cuprins!A1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123825</xdr:rowOff>
    </xdr:from>
    <xdr:to>
      <xdr:col>18</xdr:col>
      <xdr:colOff>600075</xdr:colOff>
      <xdr:row>5</xdr:row>
      <xdr:rowOff>76200</xdr:rowOff>
    </xdr:to>
    <xdr:sp macro="" textlink="">
      <xdr:nvSpPr>
        <xdr:cNvPr id="9" name="Title 1">
          <a:extLst>
            <a:ext uri="{FF2B5EF4-FFF2-40B4-BE49-F238E27FC236}">
              <a16:creationId xmlns:a16="http://schemas.microsoft.com/office/drawing/2014/main" id="{30E4A61E-EE59-45FF-BA59-CE32CE3A4C7F}"/>
            </a:ext>
          </a:extLst>
        </xdr:cNvPr>
        <xdr:cNvSpPr>
          <a:spLocks noGrp="1"/>
        </xdr:cNvSpPr>
      </xdr:nvSpPr>
      <xdr:spPr>
        <a:xfrm>
          <a:off x="3911600" y="123825"/>
          <a:ext cx="6323542" cy="705908"/>
        </a:xfrm>
        <a:prstGeom prst="rect">
          <a:avLst/>
        </a:prstGeom>
        <a:solidFill>
          <a:schemeClr val="bg2">
            <a:lumMod val="50000"/>
          </a:schemeClr>
        </a:solidFill>
        <a:ln>
          <a:solidFill>
            <a:srgbClr val="219EBC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="horz" wrap="square" lIns="91440" tIns="45720" rIns="91440" bIns="45720" rtlCol="0" anchor="ctr">
          <a:normAutofit/>
        </a:bodyPr>
        <a:lstStyle>
          <a:lvl1pPr algn="l" defTabSz="685800" rtl="0" eaLnBrk="1" latinLnBrk="0" hangingPunct="1">
            <a:lnSpc>
              <a:spcPct val="90000"/>
            </a:lnSpc>
            <a:spcBef>
              <a:spcPct val="0"/>
            </a:spcBef>
            <a:buNone/>
            <a:defRPr sz="33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2800" b="1">
              <a:ln>
                <a:solidFill>
                  <a:schemeClr val="tx2">
                    <a:lumMod val="50000"/>
                  </a:schemeClr>
                </a:solidFill>
              </a:ln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ndara" panose="020E0502030303020204" pitchFamily="34" charset="0"/>
            </a:rPr>
            <a:t>CUPRINS</a:t>
          </a:r>
        </a:p>
      </xdr:txBody>
    </xdr:sp>
    <xdr:clientData/>
  </xdr:twoCellAnchor>
  <xdr:twoCellAnchor>
    <xdr:from>
      <xdr:col>19</xdr:col>
      <xdr:colOff>166159</xdr:colOff>
      <xdr:row>7</xdr:row>
      <xdr:rowOff>0</xdr:rowOff>
    </xdr:from>
    <xdr:to>
      <xdr:col>22</xdr:col>
      <xdr:colOff>90626</xdr:colOff>
      <xdr:row>9</xdr:row>
      <xdr:rowOff>29867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DAE45-A9A8-4312-ABDB-3A45DB62C517}"/>
            </a:ext>
          </a:extLst>
        </xdr:cNvPr>
        <xdr:cNvSpPr/>
      </xdr:nvSpPr>
      <xdr:spPr>
        <a:xfrm>
          <a:off x="11680826" y="948267"/>
          <a:ext cx="1440000" cy="50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Candara" panose="020E0502030303020204" pitchFamily="34" charset="0"/>
            </a:rPr>
            <a:t>INDICATORI CHEIE</a:t>
          </a:r>
          <a:r>
            <a:rPr lang="en-GB" sz="1050" b="1" baseline="0">
              <a:solidFill>
                <a:schemeClr val="bg1"/>
              </a:solidFill>
              <a:latin typeface="Candara" panose="020E0502030303020204" pitchFamily="34" charset="0"/>
            </a:rPr>
            <a:t> </a:t>
          </a:r>
          <a:endParaRPr lang="en-GB" sz="1050" b="1">
            <a:solidFill>
              <a:schemeClr val="bg1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19</xdr:col>
      <xdr:colOff>166159</xdr:colOff>
      <xdr:row>9</xdr:row>
      <xdr:rowOff>139701</xdr:rowOff>
    </xdr:from>
    <xdr:to>
      <xdr:col>22</xdr:col>
      <xdr:colOff>90626</xdr:colOff>
      <xdr:row>11</xdr:row>
      <xdr:rowOff>118768</xdr:rowOff>
    </xdr:to>
    <xdr:sp macro="" textlink="">
      <xdr:nvSpPr>
        <xdr:cNvPr id="8" name="Rectangle: Rounded Corner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8F312-05FC-45EC-919F-81B74F0BBF5B}"/>
            </a:ext>
          </a:extLst>
        </xdr:cNvPr>
        <xdr:cNvSpPr/>
      </xdr:nvSpPr>
      <xdr:spPr>
        <a:xfrm>
          <a:off x="11680826" y="1562101"/>
          <a:ext cx="1440000" cy="50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Candara" panose="020E0502030303020204" pitchFamily="34" charset="0"/>
            </a:rPr>
            <a:t>POZITIA FINANCIARA</a:t>
          </a:r>
        </a:p>
      </xdr:txBody>
    </xdr:sp>
    <xdr:clientData/>
  </xdr:twoCellAnchor>
  <xdr:twoCellAnchor>
    <xdr:from>
      <xdr:col>19</xdr:col>
      <xdr:colOff>166159</xdr:colOff>
      <xdr:row>12</xdr:row>
      <xdr:rowOff>15874</xdr:rowOff>
    </xdr:from>
    <xdr:to>
      <xdr:col>22</xdr:col>
      <xdr:colOff>90626</xdr:colOff>
      <xdr:row>14</xdr:row>
      <xdr:rowOff>62674</xdr:rowOff>
    </xdr:to>
    <xdr:sp macro="" textlink="">
      <xdr:nvSpPr>
        <xdr:cNvPr id="11" name="Rectangle: Rounded Corner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6C9ED3-5663-4DB8-B52A-6FC03136AB92}"/>
            </a:ext>
          </a:extLst>
        </xdr:cNvPr>
        <xdr:cNvSpPr/>
      </xdr:nvSpPr>
      <xdr:spPr>
        <a:xfrm>
          <a:off x="11680826" y="2191807"/>
          <a:ext cx="1440000" cy="50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50" b="1">
              <a:solidFill>
                <a:schemeClr val="bg1"/>
              </a:solidFill>
              <a:latin typeface="Candara" panose="020E0502030303020204" pitchFamily="34" charset="0"/>
            </a:rPr>
            <a:t>REZULTATUL GLOBAL</a:t>
          </a:r>
        </a:p>
      </xdr:txBody>
    </xdr:sp>
    <xdr:clientData/>
  </xdr:twoCellAnchor>
  <xdr:twoCellAnchor>
    <xdr:from>
      <xdr:col>19</xdr:col>
      <xdr:colOff>166159</xdr:colOff>
      <xdr:row>14</xdr:row>
      <xdr:rowOff>198968</xdr:rowOff>
    </xdr:from>
    <xdr:to>
      <xdr:col>22</xdr:col>
      <xdr:colOff>90626</xdr:colOff>
      <xdr:row>17</xdr:row>
      <xdr:rowOff>84901</xdr:rowOff>
    </xdr:to>
    <xdr:sp macro="" textlink="">
      <xdr:nvSpPr>
        <xdr:cNvPr id="12" name="Rectangle: Rounded Corners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AA3E13-CC9A-487B-AB12-2C4DF279077F}"/>
            </a:ext>
          </a:extLst>
        </xdr:cNvPr>
        <xdr:cNvSpPr/>
      </xdr:nvSpPr>
      <xdr:spPr>
        <a:xfrm>
          <a:off x="11680826" y="2832101"/>
          <a:ext cx="1440000" cy="50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Candara" panose="020E0502030303020204" pitchFamily="34" charset="0"/>
            </a:rPr>
            <a:t>CASH FLOW</a:t>
          </a:r>
        </a:p>
      </xdr:txBody>
    </xdr:sp>
    <xdr:clientData/>
  </xdr:twoCellAnchor>
  <xdr:twoCellAnchor>
    <xdr:from>
      <xdr:col>19</xdr:col>
      <xdr:colOff>183092</xdr:colOff>
      <xdr:row>17</xdr:row>
      <xdr:rowOff>192615</xdr:rowOff>
    </xdr:from>
    <xdr:to>
      <xdr:col>22</xdr:col>
      <xdr:colOff>107559</xdr:colOff>
      <xdr:row>20</xdr:row>
      <xdr:rowOff>112415</xdr:rowOff>
    </xdr:to>
    <xdr:sp macro="" textlink="">
      <xdr:nvSpPr>
        <xdr:cNvPr id="13" name="Rectangle: Rounded Corners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BD86A7-2DB3-44FD-843E-2F3C37F5A2EE}"/>
            </a:ext>
          </a:extLst>
        </xdr:cNvPr>
        <xdr:cNvSpPr/>
      </xdr:nvSpPr>
      <xdr:spPr>
        <a:xfrm>
          <a:off x="10241492" y="3630082"/>
          <a:ext cx="1440000" cy="50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Candara" panose="020E0502030303020204" pitchFamily="34" charset="0"/>
            </a:rPr>
            <a:t>INDICATORI</a:t>
          </a:r>
          <a:r>
            <a:rPr lang="en-GB" sz="1050" b="1" baseline="0">
              <a:solidFill>
                <a:schemeClr val="bg1"/>
              </a:solidFill>
              <a:latin typeface="Candara" panose="020E0502030303020204" pitchFamily="34" charset="0"/>
            </a:rPr>
            <a:t> FINANCIARI</a:t>
          </a:r>
          <a:endParaRPr lang="en-GB" sz="1050" b="1">
            <a:solidFill>
              <a:schemeClr val="bg1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5</xdr:col>
      <xdr:colOff>389468</xdr:colOff>
      <xdr:row>9</xdr:row>
      <xdr:rowOff>120648</xdr:rowOff>
    </xdr:from>
    <xdr:to>
      <xdr:col>18</xdr:col>
      <xdr:colOff>618067</xdr:colOff>
      <xdr:row>19</xdr:row>
      <xdr:rowOff>118534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B538D89-7D1F-4FC4-BC66-E2A7A244C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200026</xdr:colOff>
      <xdr:row>21</xdr:row>
      <xdr:rowOff>27518</xdr:rowOff>
    </xdr:from>
    <xdr:to>
      <xdr:col>22</xdr:col>
      <xdr:colOff>124493</xdr:colOff>
      <xdr:row>24</xdr:row>
      <xdr:rowOff>23518</xdr:rowOff>
    </xdr:to>
    <xdr:sp macro="" textlink="">
      <xdr:nvSpPr>
        <xdr:cNvPr id="14" name="Rectangle: Rounded Corners 1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237CBE-DE8F-4D0E-8544-86F0D27F8950}"/>
            </a:ext>
          </a:extLst>
        </xdr:cNvPr>
        <xdr:cNvSpPr/>
      </xdr:nvSpPr>
      <xdr:spPr>
        <a:xfrm>
          <a:off x="10258426" y="4243918"/>
          <a:ext cx="1440000" cy="50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Candara" panose="020E0502030303020204" pitchFamily="34" charset="0"/>
            </a:rPr>
            <a:t>GRAFICE INTERACTIVE</a:t>
          </a:r>
        </a:p>
      </xdr:txBody>
    </xdr:sp>
    <xdr:clientData/>
  </xdr:twoCellAnchor>
  <xdr:twoCellAnchor editAs="oneCell">
    <xdr:from>
      <xdr:col>15</xdr:col>
      <xdr:colOff>152399</xdr:colOff>
      <xdr:row>1</xdr:row>
      <xdr:rowOff>140759</xdr:rowOff>
    </xdr:from>
    <xdr:to>
      <xdr:col>18</xdr:col>
      <xdr:colOff>505882</xdr:colOff>
      <xdr:row>4</xdr:row>
      <xdr:rowOff>91229</xdr:rowOff>
    </xdr:to>
    <xdr:pic>
      <xdr:nvPicPr>
        <xdr:cNvPr id="16" name="Imagine 1" descr="O imagine care conține text&#10;&#10;Descriere generată automat">
          <a:extLst>
            <a:ext uri="{FF2B5EF4-FFF2-40B4-BE49-F238E27FC236}">
              <a16:creationId xmlns:a16="http://schemas.microsoft.com/office/drawing/2014/main" id="{0D85A7C4-27E3-4E69-96DE-D4CFDE3564E7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4066" y="335492"/>
          <a:ext cx="2139950" cy="5092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0</xdr:row>
      <xdr:rowOff>177800</xdr:rowOff>
    </xdr:from>
    <xdr:to>
      <xdr:col>9</xdr:col>
      <xdr:colOff>36619</xdr:colOff>
      <xdr:row>2</xdr:row>
      <xdr:rowOff>142664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AB5533-4E96-496E-AA68-7CF4909ACDFF}"/>
            </a:ext>
          </a:extLst>
        </xdr:cNvPr>
        <xdr:cNvSpPr/>
      </xdr:nvSpPr>
      <xdr:spPr>
        <a:xfrm>
          <a:off x="8712200" y="177800"/>
          <a:ext cx="862119" cy="428414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chemeClr val="bg1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370416</xdr:colOff>
      <xdr:row>62</xdr:row>
      <xdr:rowOff>42333</xdr:rowOff>
    </xdr:from>
    <xdr:to>
      <xdr:col>21</xdr:col>
      <xdr:colOff>296333</xdr:colOff>
      <xdr:row>62</xdr:row>
      <xdr:rowOff>52917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239BE6F-8E7A-4F91-87AC-0B547C12A03D}"/>
            </a:ext>
          </a:extLst>
        </xdr:cNvPr>
        <xdr:cNvCxnSpPr/>
      </xdr:nvCxnSpPr>
      <xdr:spPr>
        <a:xfrm>
          <a:off x="18362083" y="11853333"/>
          <a:ext cx="1164167" cy="10584"/>
        </a:xfrm>
        <a:prstGeom prst="lin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496144</xdr:colOff>
      <xdr:row>65</xdr:row>
      <xdr:rowOff>1</xdr:rowOff>
    </xdr:from>
    <xdr:to>
      <xdr:col>17</xdr:col>
      <xdr:colOff>59267</xdr:colOff>
      <xdr:row>83</xdr:row>
      <xdr:rowOff>177801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1873D023-A28D-4A79-8330-7AB1CC673855}"/>
            </a:ext>
          </a:extLst>
        </xdr:cNvPr>
        <xdr:cNvGrpSpPr/>
      </xdr:nvGrpSpPr>
      <xdr:grpSpPr>
        <a:xfrm>
          <a:off x="10832533" y="11923890"/>
          <a:ext cx="6061290" cy="3479800"/>
          <a:chOff x="9457265" y="14964833"/>
          <a:chExt cx="5139267" cy="2743200"/>
        </a:xfrm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E149E3E4-A863-4064-939A-BF1177E0B1F7}"/>
              </a:ext>
            </a:extLst>
          </xdr:cNvPr>
          <xdr:cNvGraphicFramePr/>
        </xdr:nvGraphicFramePr>
        <xdr:xfrm>
          <a:off x="9457265" y="14964833"/>
          <a:ext cx="5139267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DCC5CB03-A338-4AFF-AA40-295CDBE524E9}"/>
              </a:ext>
            </a:extLst>
          </xdr:cNvPr>
          <xdr:cNvGrpSpPr/>
        </xdr:nvGrpSpPr>
        <xdr:grpSpPr>
          <a:xfrm>
            <a:off x="9830014" y="15277704"/>
            <a:ext cx="4557686" cy="279187"/>
            <a:chOff x="3911814" y="16539237"/>
            <a:chExt cx="4557686" cy="279187"/>
          </a:xfrm>
        </xdr:grpSpPr>
        <xdr:cxnSp macro="">
          <xdr:nvCxnSpPr>
            <xdr:cNvPr id="10" name="Straight Arrow Connector 9">
              <a:extLst>
                <a:ext uri="{FF2B5EF4-FFF2-40B4-BE49-F238E27FC236}">
                  <a16:creationId xmlns:a16="http://schemas.microsoft.com/office/drawing/2014/main" id="{E966AEA3-533B-47AF-84D4-9EE0C5E33E2E}"/>
                </a:ext>
              </a:extLst>
            </xdr:cNvPr>
            <xdr:cNvCxnSpPr/>
          </xdr:nvCxnSpPr>
          <xdr:spPr>
            <a:xfrm flipH="1" flipV="1">
              <a:off x="3911814" y="16671506"/>
              <a:ext cx="1794701" cy="0"/>
            </a:xfrm>
            <a:prstGeom prst="straightConnector1">
              <a:avLst/>
            </a:prstGeom>
            <a:ln>
              <a:solidFill>
                <a:schemeClr val="accent6">
                  <a:lumMod val="40000"/>
                  <a:lumOff val="60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Straight Arrow Connector 10">
              <a:extLst>
                <a:ext uri="{FF2B5EF4-FFF2-40B4-BE49-F238E27FC236}">
                  <a16:creationId xmlns:a16="http://schemas.microsoft.com/office/drawing/2014/main" id="{FF733847-94B3-4EA3-8FAC-C05877F0DE17}"/>
                </a:ext>
              </a:extLst>
            </xdr:cNvPr>
            <xdr:cNvCxnSpPr/>
          </xdr:nvCxnSpPr>
          <xdr:spPr>
            <a:xfrm flipV="1">
              <a:off x="6343934" y="16668543"/>
              <a:ext cx="2125566" cy="0"/>
            </a:xfrm>
            <a:prstGeom prst="straightConnector1">
              <a:avLst/>
            </a:prstGeom>
            <a:ln>
              <a:solidFill>
                <a:schemeClr val="accent6">
                  <a:lumMod val="40000"/>
                  <a:lumOff val="60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$H$77">
          <xdr:nvSpPr>
            <xdr:cNvPr id="12" name="Flowchart: Connector 11">
              <a:extLst>
                <a:ext uri="{FF2B5EF4-FFF2-40B4-BE49-F238E27FC236}">
                  <a16:creationId xmlns:a16="http://schemas.microsoft.com/office/drawing/2014/main" id="{09D21255-2334-4D9C-B7DE-CA727AC6E1A3}"/>
                </a:ext>
              </a:extLst>
            </xdr:cNvPr>
            <xdr:cNvSpPr/>
          </xdr:nvSpPr>
          <xdr:spPr>
            <a:xfrm>
              <a:off x="5719772" y="16539237"/>
              <a:ext cx="613294" cy="279187"/>
            </a:xfrm>
            <a:prstGeom prst="flowChartConnector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fld id="{D2359867-40DF-4383-8429-AEDCB945CB70}" type="TxLink">
                <a:rPr lang="en-US" sz="1000" b="0" i="0" u="none" strike="noStrike">
                  <a:solidFill>
                    <a:srgbClr val="000000"/>
                  </a:solidFill>
                  <a:latin typeface="Candara"/>
                </a:rPr>
                <a:pPr algn="ctr"/>
                <a:t>18%</a:t>
              </a:fld>
              <a:endParaRPr lang="ro-RO" sz="1000">
                <a:solidFill>
                  <a:sysClr val="windowText" lastClr="000000"/>
                </a:solidFill>
                <a:latin typeface="Candara" panose="020E0502030303020204" pitchFamily="34" charset="0"/>
              </a:endParaRP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414867</xdr:colOff>
      <xdr:row>1</xdr:row>
      <xdr:rowOff>110067</xdr:rowOff>
    </xdr:from>
    <xdr:to>
      <xdr:col>20</xdr:col>
      <xdr:colOff>1</xdr:colOff>
      <xdr:row>19</xdr:row>
      <xdr:rowOff>110066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5F0E71-C082-404C-B43E-8B38E78FA5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406398</xdr:colOff>
      <xdr:row>20</xdr:row>
      <xdr:rowOff>67735</xdr:rowOff>
    </xdr:from>
    <xdr:to>
      <xdr:col>20</xdr:col>
      <xdr:colOff>78738</xdr:colOff>
      <xdr:row>34</xdr:row>
      <xdr:rowOff>166372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8DB26FB-5783-47A5-949E-29D449FBCA9B}"/>
            </a:ext>
          </a:extLst>
        </xdr:cNvPr>
        <xdr:cNvGrpSpPr/>
      </xdr:nvGrpSpPr>
      <xdr:grpSpPr>
        <a:xfrm>
          <a:off x="12259731" y="3941235"/>
          <a:ext cx="5260340" cy="2730359"/>
          <a:chOff x="7984067" y="2837603"/>
          <a:chExt cx="5158740" cy="2791037"/>
        </a:xfrm>
      </xdr:grpSpPr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51EC31CD-604C-4265-90E6-7785568E4DAF}"/>
              </a:ext>
            </a:extLst>
          </xdr:cNvPr>
          <xdr:cNvGraphicFramePr/>
        </xdr:nvGraphicFramePr>
        <xdr:xfrm>
          <a:off x="7984067" y="2837603"/>
          <a:ext cx="5158740" cy="27910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6A7D9A95-1F29-4EC8-B194-E75F4C483F75}"/>
              </a:ext>
            </a:extLst>
          </xdr:cNvPr>
          <xdr:cNvCxnSpPr/>
        </xdr:nvCxnSpPr>
        <xdr:spPr>
          <a:xfrm>
            <a:off x="8390467" y="3276600"/>
            <a:ext cx="4343400" cy="0"/>
          </a:xfrm>
          <a:prstGeom prst="straightConnector1">
            <a:avLst/>
          </a:prstGeom>
          <a:ln>
            <a:solidFill>
              <a:schemeClr val="bg2">
                <a:lumMod val="5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N$23">
        <xdr:nvSpPr>
          <xdr:cNvPr id="9" name="Oval 8">
            <a:extLst>
              <a:ext uri="{FF2B5EF4-FFF2-40B4-BE49-F238E27FC236}">
                <a16:creationId xmlns:a16="http://schemas.microsoft.com/office/drawing/2014/main" id="{96E3A7DC-D308-4366-94C3-7257B2597393}"/>
              </a:ext>
            </a:extLst>
          </xdr:cNvPr>
          <xdr:cNvSpPr/>
        </xdr:nvSpPr>
        <xdr:spPr>
          <a:xfrm>
            <a:off x="10232814" y="3087793"/>
            <a:ext cx="609600" cy="407247"/>
          </a:xfrm>
          <a:prstGeom prst="ellipse">
            <a:avLst/>
          </a:prstGeom>
          <a:solidFill>
            <a:srgbClr val="219EBC"/>
          </a:solidFill>
          <a:ln>
            <a:solidFill>
              <a:schemeClr val="bg2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FC32841A-646B-4AB8-BFB0-06BD51F4B28B}" type="TxLink">
              <a:rPr lang="en-US" sz="1100" b="0" i="0" u="none" strike="noStrike">
                <a:solidFill>
                  <a:srgbClr val="000000"/>
                </a:solidFill>
                <a:latin typeface="Candara"/>
              </a:rPr>
              <a:pPr algn="ctr"/>
              <a:t>10%</a:t>
            </a:fld>
            <a:endParaRPr lang="ro-RO" sz="1000">
              <a:latin typeface="Candara" panose="020E0502030303020204" pitchFamily="34" charset="0"/>
            </a:endParaRPr>
          </a:p>
        </xdr:txBody>
      </xdr:sp>
    </xdr:grpSp>
    <xdr:clientData/>
  </xdr:twoCellAnchor>
  <xdr:twoCellAnchor>
    <xdr:from>
      <xdr:col>9</xdr:col>
      <xdr:colOff>457200</xdr:colOff>
      <xdr:row>0</xdr:row>
      <xdr:rowOff>93133</xdr:rowOff>
    </xdr:from>
    <xdr:to>
      <xdr:col>10</xdr:col>
      <xdr:colOff>462493</xdr:colOff>
      <xdr:row>2</xdr:row>
      <xdr:rowOff>133350</xdr:rowOff>
    </xdr:to>
    <xdr:sp macro="" textlink="">
      <xdr:nvSpPr>
        <xdr:cNvPr id="10" name="Rectangle: Rounded Corner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90B3AD-0698-4298-A0BE-6601713A2D96}"/>
            </a:ext>
          </a:extLst>
        </xdr:cNvPr>
        <xdr:cNvSpPr/>
      </xdr:nvSpPr>
      <xdr:spPr>
        <a:xfrm>
          <a:off x="8568267" y="93133"/>
          <a:ext cx="851959" cy="429684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chemeClr val="bg1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13</xdr:col>
      <xdr:colOff>851959</xdr:colOff>
      <xdr:row>2</xdr:row>
      <xdr:rowOff>429684</xdr:rowOff>
    </xdr:to>
    <xdr:sp macro="" textlink="">
      <xdr:nvSpPr>
        <xdr:cNvPr id="5" name="Rectangle: Rounded Corner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4DD5B3-6749-45A5-B320-818650041B24}"/>
            </a:ext>
          </a:extLst>
        </xdr:cNvPr>
        <xdr:cNvSpPr/>
      </xdr:nvSpPr>
      <xdr:spPr>
        <a:xfrm>
          <a:off x="11811000" y="391583"/>
          <a:ext cx="851959" cy="429684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chemeClr val="bg1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34</xdr:row>
      <xdr:rowOff>0</xdr:rowOff>
    </xdr:from>
    <xdr:to>
      <xdr:col>27</xdr:col>
      <xdr:colOff>537411</xdr:colOff>
      <xdr:row>46</xdr:row>
      <xdr:rowOff>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9422CCFE-6123-41B0-B856-5F74939CE393}"/>
            </a:ext>
          </a:extLst>
        </xdr:cNvPr>
        <xdr:cNvGrpSpPr/>
      </xdr:nvGrpSpPr>
      <xdr:grpSpPr>
        <a:xfrm>
          <a:off x="17145000" y="6390105"/>
          <a:ext cx="5363411" cy="2453106"/>
          <a:chOff x="9457265" y="14964833"/>
          <a:chExt cx="5139267" cy="2743200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C3617E8-7774-48D5-BE4E-55ED99770BFD}"/>
              </a:ext>
            </a:extLst>
          </xdr:cNvPr>
          <xdr:cNvGraphicFramePr/>
        </xdr:nvGraphicFramePr>
        <xdr:xfrm>
          <a:off x="9457265" y="14964833"/>
          <a:ext cx="5139267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86805EF2-D46F-48BE-A57B-FD35325C6F77}"/>
              </a:ext>
            </a:extLst>
          </xdr:cNvPr>
          <xdr:cNvGrpSpPr/>
        </xdr:nvGrpSpPr>
        <xdr:grpSpPr>
          <a:xfrm>
            <a:off x="9830014" y="15277704"/>
            <a:ext cx="4557686" cy="279187"/>
            <a:chOff x="3911814" y="16539237"/>
            <a:chExt cx="4557686" cy="279187"/>
          </a:xfrm>
        </xdr:grpSpPr>
        <xdr:cxnSp macro="">
          <xdr:nvCxnSpPr>
            <xdr:cNvPr id="7" name="Straight Arrow Connector 6">
              <a:extLst>
                <a:ext uri="{FF2B5EF4-FFF2-40B4-BE49-F238E27FC236}">
                  <a16:creationId xmlns:a16="http://schemas.microsoft.com/office/drawing/2014/main" id="{CF0F07F7-1FF7-455C-92F1-A925D0EA71FD}"/>
                </a:ext>
              </a:extLst>
            </xdr:cNvPr>
            <xdr:cNvCxnSpPr/>
          </xdr:nvCxnSpPr>
          <xdr:spPr>
            <a:xfrm flipH="1" flipV="1">
              <a:off x="3911814" y="16671506"/>
              <a:ext cx="1794701" cy="0"/>
            </a:xfrm>
            <a:prstGeom prst="straightConnector1">
              <a:avLst/>
            </a:prstGeom>
            <a:ln>
              <a:solidFill>
                <a:schemeClr val="bg2">
                  <a:lumMod val="50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" name="Straight Arrow Connector 7">
              <a:extLst>
                <a:ext uri="{FF2B5EF4-FFF2-40B4-BE49-F238E27FC236}">
                  <a16:creationId xmlns:a16="http://schemas.microsoft.com/office/drawing/2014/main" id="{F276B0A5-8DDB-4AEB-AB17-AACA33A1184E}"/>
                </a:ext>
              </a:extLst>
            </xdr:cNvPr>
            <xdr:cNvCxnSpPr/>
          </xdr:nvCxnSpPr>
          <xdr:spPr>
            <a:xfrm flipV="1">
              <a:off x="6343934" y="16668543"/>
              <a:ext cx="2125566" cy="0"/>
            </a:xfrm>
            <a:prstGeom prst="straightConnector1">
              <a:avLst/>
            </a:prstGeom>
            <a:ln>
              <a:solidFill>
                <a:schemeClr val="bg2">
                  <a:lumMod val="50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HiddenPage!$H$77">
          <xdr:nvSpPr>
            <xdr:cNvPr id="9" name="Flowchart: Connector 8">
              <a:extLst>
                <a:ext uri="{FF2B5EF4-FFF2-40B4-BE49-F238E27FC236}">
                  <a16:creationId xmlns:a16="http://schemas.microsoft.com/office/drawing/2014/main" id="{6C2CC696-F5CF-4495-B8C0-FCCEA2928125}"/>
                </a:ext>
              </a:extLst>
            </xdr:cNvPr>
            <xdr:cNvSpPr/>
          </xdr:nvSpPr>
          <xdr:spPr>
            <a:xfrm>
              <a:off x="5719772" y="16539237"/>
              <a:ext cx="613294" cy="279187"/>
            </a:xfrm>
            <a:prstGeom prst="flowChartConnector">
              <a:avLst/>
            </a:prstGeom>
            <a:solidFill>
              <a:schemeClr val="bg2">
                <a:lumMod val="9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fld id="{76235D2B-C46B-4341-A71D-24148DE9E48F}" type="TxLink">
                <a:rPr lang="en-US" sz="900" b="0" i="0" u="none" strike="noStrike">
                  <a:solidFill>
                    <a:srgbClr val="000000"/>
                  </a:solidFill>
                  <a:latin typeface="Candara"/>
                </a:rPr>
                <a:pPr algn="ctr"/>
                <a:t>18%</a:t>
              </a:fld>
              <a:endParaRPr lang="ro-RO" sz="900">
                <a:solidFill>
                  <a:sysClr val="windowText" lastClr="000000"/>
                </a:solidFill>
                <a:latin typeface="Candara" panose="020E0502030303020204" pitchFamily="34" charset="0"/>
              </a:endParaRPr>
            </a:p>
          </xdr:txBody>
        </xdr:sp>
      </xdr:grpSp>
    </xdr:grp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298506</xdr:colOff>
      <xdr:row>3</xdr:row>
      <xdr:rowOff>108841</xdr:rowOff>
    </xdr:to>
    <xdr:sp macro="" textlink="">
      <xdr:nvSpPr>
        <xdr:cNvPr id="10" name="Rectangle: Rounded Corners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BA1739-9892-47CF-B2AF-6C2B323AC3FF}"/>
            </a:ext>
          </a:extLst>
        </xdr:cNvPr>
        <xdr:cNvSpPr/>
      </xdr:nvSpPr>
      <xdr:spPr>
        <a:xfrm>
          <a:off x="12400547" y="368968"/>
          <a:ext cx="851959" cy="429684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chemeClr val="bg1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155223</xdr:colOff>
      <xdr:row>0</xdr:row>
      <xdr:rowOff>169333</xdr:rowOff>
    </xdr:from>
    <xdr:to>
      <xdr:col>10</xdr:col>
      <xdr:colOff>386887</xdr:colOff>
      <xdr:row>2</xdr:row>
      <xdr:rowOff>83960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37F6CA-8A76-4A9A-9CF5-E05121FAFEA9}"/>
            </a:ext>
          </a:extLst>
        </xdr:cNvPr>
        <xdr:cNvSpPr/>
      </xdr:nvSpPr>
      <xdr:spPr>
        <a:xfrm>
          <a:off x="14569723" y="169333"/>
          <a:ext cx="866664" cy="429683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chemeClr val="bg1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269521</xdr:colOff>
      <xdr:row>1</xdr:row>
      <xdr:rowOff>23989</xdr:rowOff>
    </xdr:from>
    <xdr:to>
      <xdr:col>10</xdr:col>
      <xdr:colOff>515054</xdr:colOff>
      <xdr:row>2</xdr:row>
      <xdr:rowOff>258940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FC7A4C-452E-47F4-BC2F-13217F22FB3F}"/>
            </a:ext>
          </a:extLst>
        </xdr:cNvPr>
        <xdr:cNvSpPr/>
      </xdr:nvSpPr>
      <xdr:spPr>
        <a:xfrm>
          <a:off x="12623799" y="207433"/>
          <a:ext cx="880533" cy="425451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chemeClr val="bg1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4</xdr:row>
      <xdr:rowOff>71438</xdr:rowOff>
    </xdr:from>
    <xdr:to>
      <xdr:col>7</xdr:col>
      <xdr:colOff>392906</xdr:colOff>
      <xdr:row>16</xdr:row>
      <xdr:rowOff>166688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D8FBFA-3C40-4BCF-A853-015D6F756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573089</xdr:colOff>
      <xdr:row>4</xdr:row>
      <xdr:rowOff>59532</xdr:rowOff>
    </xdr:from>
    <xdr:to>
      <xdr:col>16</xdr:col>
      <xdr:colOff>168275</xdr:colOff>
      <xdr:row>17</xdr:row>
      <xdr:rowOff>11906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16D11D-85A4-457E-9BDB-C75A67B1D9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144197</xdr:colOff>
      <xdr:row>4</xdr:row>
      <xdr:rowOff>56092</xdr:rowOff>
    </xdr:from>
    <xdr:to>
      <xdr:col>23</xdr:col>
      <xdr:colOff>537103</xdr:colOff>
      <xdr:row>17</xdr:row>
      <xdr:rowOff>32279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4D9CFA-FC60-46B9-B8B1-3D8486B2D3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238125</xdr:colOff>
      <xdr:row>21</xdr:row>
      <xdr:rowOff>100012</xdr:rowOff>
    </xdr:from>
    <xdr:to>
      <xdr:col>23</xdr:col>
      <xdr:colOff>535781</xdr:colOff>
      <xdr:row>36</xdr:row>
      <xdr:rowOff>23811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491E4C6F-77EE-4D97-933A-5A2B4C99BE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17196</xdr:colOff>
      <xdr:row>21</xdr:row>
      <xdr:rowOff>82285</xdr:rowOff>
    </xdr:from>
    <xdr:to>
      <xdr:col>12</xdr:col>
      <xdr:colOff>47625</xdr:colOff>
      <xdr:row>36</xdr:row>
      <xdr:rowOff>35718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54A4697-6F5D-412D-9774-C6EDE4A2E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5</xdr:row>
      <xdr:rowOff>0</xdr:rowOff>
    </xdr:from>
    <xdr:to>
      <xdr:col>25</xdr:col>
      <xdr:colOff>225426</xdr:colOff>
      <xdr:row>7</xdr:row>
      <xdr:rowOff>57151</xdr:rowOff>
    </xdr:to>
    <xdr:sp macro="" textlink="">
      <xdr:nvSpPr>
        <xdr:cNvPr id="9" name="Rectangle: Rounded Corner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BFE870C-AC17-44D9-9968-5F0F249DA215}"/>
            </a:ext>
          </a:extLst>
        </xdr:cNvPr>
        <xdr:cNvSpPr/>
      </xdr:nvSpPr>
      <xdr:spPr>
        <a:xfrm>
          <a:off x="14351000" y="618067"/>
          <a:ext cx="851959" cy="429684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0.27216</cdr:x>
      <cdr:y>0.87382</cdr:y>
    </cdr:from>
    <cdr:to>
      <cdr:x>0.57436</cdr:x>
      <cdr:y>0.95925</cdr:y>
    </cdr:to>
    <cdr:sp macro="" textlink="HiddenPage!$N$23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35C0CB28-5F10-4252-A7F6-1687625EA44A}"/>
            </a:ext>
          </a:extLst>
        </cdr:cNvPr>
        <cdr:cNvSpPr/>
      </cdr:nvSpPr>
      <cdr:spPr>
        <a:xfrm xmlns:a="http://schemas.openxmlformats.org/drawingml/2006/main">
          <a:off x="1842364" y="2354526"/>
          <a:ext cx="2045689" cy="230188"/>
        </a:xfrm>
        <a:prstGeom xmlns:a="http://schemas.openxmlformats.org/drawingml/2006/main" prst="rect">
          <a:avLst/>
        </a:prstGeom>
        <a:solidFill xmlns:a="http://schemas.openxmlformats.org/drawingml/2006/main">
          <a:srgbClr val="219EBC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fld id="{68FD3661-723C-40C2-8617-39B7D221BC79}" type="TxLink">
            <a:rPr lang="en-US" sz="1000" b="0" i="0" u="none" strike="noStrike">
              <a:solidFill>
                <a:schemeClr val="bg1"/>
              </a:solidFill>
              <a:latin typeface="Candara"/>
            </a:rPr>
            <a:pPr/>
            <a:t>Total  : 69078928,0 lei</a:t>
          </a:fld>
          <a:endParaRPr lang="en-US" sz="10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omcarbon.com/RO" TargetMode="External"/><Relationship Id="rId2" Type="http://schemas.openxmlformats.org/officeDocument/2006/relationships/hyperlink" Target="mailto:investor.relations@romcarbon.com" TargetMode="External"/><Relationship Id="rId1" Type="http://schemas.openxmlformats.org/officeDocument/2006/relationships/hyperlink" Target="http://www.romcarbon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19EBC"/>
  </sheetPr>
  <dimension ref="A1:AF32"/>
  <sheetViews>
    <sheetView showGridLines="0" zoomScale="90" zoomScaleNormal="90" workbookViewId="0">
      <selection activeCell="X27" sqref="X27"/>
    </sheetView>
  </sheetViews>
  <sheetFormatPr defaultColWidth="9.08984375" defaultRowHeight="14.5" x14ac:dyDescent="0.35"/>
  <cols>
    <col min="1" max="1" width="1.54296875" style="145" customWidth="1"/>
    <col min="2" max="2" width="9.08984375" style="145"/>
    <col min="3" max="3" width="3.1796875" style="145" customWidth="1"/>
    <col min="4" max="5" width="2.90625" style="145" customWidth="1"/>
    <col min="6" max="6" width="5.90625" style="145" customWidth="1"/>
    <col min="7" max="7" width="11.36328125" style="145" customWidth="1"/>
    <col min="8" max="17" width="9.08984375" style="145"/>
    <col min="18" max="18" width="7.81640625" style="145" customWidth="1"/>
    <col min="19" max="19" width="9.08984375" style="145" customWidth="1"/>
    <col min="20" max="20" width="8.08984375" style="145" customWidth="1"/>
    <col min="21" max="21" width="6.90625" style="145" customWidth="1"/>
    <col min="22" max="22" width="7" style="145" customWidth="1"/>
    <col min="23" max="16384" width="9.08984375" style="145"/>
  </cols>
  <sheetData>
    <row r="1" spans="1:32" ht="15" customHeight="1" x14ac:dyDescent="0.35">
      <c r="A1" s="144"/>
      <c r="B1" s="144"/>
      <c r="C1" s="144"/>
      <c r="D1" s="144"/>
      <c r="E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32" x14ac:dyDescent="0.35">
      <c r="B2" s="144"/>
      <c r="C2" s="144"/>
      <c r="D2" s="144"/>
      <c r="E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32" x14ac:dyDescent="0.35">
      <c r="B3" s="144"/>
      <c r="C3" s="144"/>
      <c r="D3" s="144"/>
      <c r="E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32" x14ac:dyDescent="0.35">
      <c r="A4" s="144"/>
      <c r="B4" s="144"/>
      <c r="C4" s="144"/>
      <c r="D4" s="144"/>
      <c r="E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32" x14ac:dyDescent="0.35">
      <c r="A5" s="144"/>
      <c r="B5" s="144"/>
      <c r="C5" s="144"/>
      <c r="D5" s="144"/>
      <c r="E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W5" s="146"/>
      <c r="X5" s="146"/>
      <c r="Y5" s="146"/>
      <c r="Z5" s="146"/>
      <c r="AA5" s="146"/>
      <c r="AB5" s="146"/>
      <c r="AC5" s="146"/>
      <c r="AD5" s="146"/>
      <c r="AE5" s="146"/>
      <c r="AF5" s="146"/>
    </row>
    <row r="6" spans="1:32" ht="9.75" customHeight="1" x14ac:dyDescent="0.35">
      <c r="A6" s="144"/>
      <c r="B6" s="144"/>
      <c r="C6" s="144"/>
      <c r="D6" s="144"/>
      <c r="E6" s="147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32" ht="6" customHeight="1" x14ac:dyDescent="0.35">
      <c r="A7" s="144"/>
      <c r="B7" s="144"/>
      <c r="C7" s="144"/>
      <c r="D7" s="144"/>
      <c r="E7" s="147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32" ht="16.5" customHeight="1" x14ac:dyDescent="0.35">
      <c r="A8" s="148"/>
      <c r="G8" s="191" t="s">
        <v>183</v>
      </c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</row>
    <row r="9" spans="1:32" ht="21" customHeight="1" x14ac:dyDescent="0.35"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</row>
    <row r="10" spans="1:32" ht="23.4" customHeight="1" x14ac:dyDescent="0.55000000000000004"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</row>
    <row r="11" spans="1:32" ht="18.5" x14ac:dyDescent="0.45">
      <c r="H11" s="149"/>
      <c r="I11" s="149"/>
      <c r="J11" s="149"/>
      <c r="K11" s="149"/>
      <c r="L11" s="149"/>
      <c r="M11" s="149"/>
      <c r="N11" s="149"/>
      <c r="O11" s="150"/>
      <c r="P11" s="149"/>
      <c r="Q11" s="149"/>
      <c r="R11" s="150"/>
      <c r="S11" s="151"/>
    </row>
    <row r="12" spans="1:32" ht="18.5" x14ac:dyDescent="0.45">
      <c r="H12" s="149"/>
      <c r="I12" s="149"/>
      <c r="J12" s="149"/>
      <c r="K12" s="149"/>
      <c r="L12" s="149"/>
      <c r="M12" s="149"/>
      <c r="N12" s="149"/>
      <c r="O12" s="149"/>
      <c r="R12" s="152"/>
      <c r="S12" s="152"/>
    </row>
    <row r="13" spans="1:32" ht="18.5" x14ac:dyDescent="0.45">
      <c r="H13" s="149"/>
      <c r="I13" s="149"/>
      <c r="J13" s="149"/>
      <c r="K13" s="149"/>
      <c r="L13" s="149"/>
      <c r="M13" s="149"/>
      <c r="N13" s="149"/>
      <c r="O13" s="149"/>
      <c r="R13" s="149"/>
      <c r="S13" s="151"/>
    </row>
    <row r="14" spans="1:32" ht="18.5" x14ac:dyDescent="0.45">
      <c r="H14" s="149"/>
      <c r="I14" s="149"/>
      <c r="J14" s="149"/>
      <c r="K14" s="149"/>
      <c r="L14" s="149"/>
      <c r="M14" s="149"/>
      <c r="N14" s="149"/>
      <c r="O14" s="149"/>
      <c r="R14" s="149"/>
      <c r="S14" s="151"/>
    </row>
    <row r="15" spans="1:32" ht="18.5" x14ac:dyDescent="0.45">
      <c r="H15" s="149"/>
      <c r="I15" s="149"/>
      <c r="J15" s="149"/>
      <c r="K15" s="149"/>
      <c r="L15" s="149"/>
      <c r="M15" s="149"/>
      <c r="N15" s="149"/>
      <c r="O15" s="149"/>
      <c r="R15" s="149"/>
      <c r="S15" s="151"/>
    </row>
    <row r="16" spans="1:32" ht="15" customHeight="1" x14ac:dyDescent="0.45">
      <c r="H16" s="149"/>
      <c r="I16" s="149"/>
      <c r="J16" s="149"/>
      <c r="K16" s="149"/>
      <c r="L16" s="149"/>
      <c r="M16" s="149"/>
      <c r="N16" s="149"/>
      <c r="O16" s="149"/>
      <c r="R16" s="149"/>
      <c r="S16" s="151"/>
    </row>
    <row r="17" spans="7:19" ht="15" customHeight="1" x14ac:dyDescent="0.45">
      <c r="H17" s="149"/>
      <c r="I17" s="149"/>
      <c r="J17" s="149"/>
      <c r="K17" s="149"/>
      <c r="L17" s="149"/>
      <c r="M17" s="149"/>
      <c r="N17" s="149"/>
      <c r="O17" s="149"/>
      <c r="R17" s="149"/>
      <c r="S17" s="151"/>
    </row>
    <row r="18" spans="7:19" ht="15" customHeight="1" x14ac:dyDescent="0.45"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  <c r="S18" s="151"/>
    </row>
    <row r="19" spans="7:19" ht="15" customHeight="1" x14ac:dyDescent="0.35"/>
    <row r="20" spans="7:19" ht="15" customHeight="1" x14ac:dyDescent="0.35"/>
    <row r="21" spans="7:19" ht="15" customHeight="1" x14ac:dyDescent="0.35">
      <c r="G21" s="197" t="s">
        <v>173</v>
      </c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</row>
    <row r="22" spans="7:19" ht="15" customHeight="1" x14ac:dyDescent="0.35">
      <c r="G22" s="194" t="s">
        <v>108</v>
      </c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</row>
    <row r="23" spans="7:19" ht="15" customHeight="1" x14ac:dyDescent="0.35">
      <c r="G23" s="198" t="s">
        <v>92</v>
      </c>
      <c r="H23" s="198"/>
      <c r="I23" s="198"/>
      <c r="J23" s="198"/>
      <c r="K23" s="198"/>
      <c r="L23" s="198"/>
      <c r="M23" s="198"/>
      <c r="N23" s="198"/>
      <c r="O23" s="198"/>
      <c r="P23" s="198"/>
      <c r="Q23" s="153"/>
      <c r="R23" s="153"/>
      <c r="S23" s="153"/>
    </row>
    <row r="24" spans="7:19" ht="9" customHeight="1" x14ac:dyDescent="0.35"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spans="7:19" x14ac:dyDescent="0.35">
      <c r="G25" s="195"/>
      <c r="H25" s="195"/>
      <c r="I25" s="195"/>
      <c r="J25" s="195"/>
      <c r="K25" s="195"/>
      <c r="L25" s="195"/>
      <c r="M25" s="195"/>
      <c r="N25" s="155"/>
      <c r="O25" s="155"/>
      <c r="P25" s="194" t="s">
        <v>93</v>
      </c>
      <c r="Q25" s="194"/>
      <c r="R25" s="194"/>
      <c r="S25" s="194"/>
    </row>
    <row r="26" spans="7:19" x14ac:dyDescent="0.35">
      <c r="G26" s="195"/>
      <c r="H26" s="195"/>
      <c r="I26" s="195"/>
      <c r="J26" s="195"/>
      <c r="K26" s="195"/>
      <c r="L26" s="195"/>
      <c r="M26" s="195"/>
      <c r="N26" s="156"/>
      <c r="O26" s="156"/>
      <c r="P26" s="194" t="s">
        <v>94</v>
      </c>
      <c r="Q26" s="194"/>
      <c r="R26" s="194"/>
      <c r="S26" s="194"/>
    </row>
    <row r="27" spans="7:19" x14ac:dyDescent="0.35">
      <c r="G27" s="157"/>
      <c r="H27" s="157"/>
      <c r="I27" s="157"/>
      <c r="J27" s="157"/>
      <c r="K27" s="157"/>
      <c r="L27" s="157"/>
      <c r="M27" s="157"/>
      <c r="N27" s="154"/>
      <c r="O27" s="154"/>
      <c r="P27" s="158" t="s">
        <v>95</v>
      </c>
      <c r="Q27" s="158"/>
      <c r="R27" s="158"/>
      <c r="S27" s="158"/>
    </row>
    <row r="28" spans="7:19" x14ac:dyDescent="0.35">
      <c r="G28" s="157"/>
      <c r="H28" s="157"/>
      <c r="I28" s="157"/>
      <c r="J28" s="157"/>
      <c r="K28" s="157"/>
      <c r="L28" s="157"/>
      <c r="M28" s="157"/>
      <c r="N28" s="154"/>
      <c r="O28" s="154"/>
      <c r="P28" s="158" t="s">
        <v>67</v>
      </c>
      <c r="Q28" s="158"/>
      <c r="R28" s="158"/>
      <c r="S28" s="158"/>
    </row>
    <row r="29" spans="7:19" x14ac:dyDescent="0.35">
      <c r="G29" s="157"/>
      <c r="H29" s="157"/>
      <c r="I29" s="157"/>
      <c r="J29" s="157"/>
      <c r="K29" s="157"/>
      <c r="L29" s="157"/>
      <c r="M29" s="157"/>
      <c r="N29" s="154"/>
      <c r="O29" s="154"/>
      <c r="P29" s="159" t="s">
        <v>123</v>
      </c>
      <c r="Q29" s="159"/>
      <c r="R29" s="159"/>
      <c r="S29" s="159"/>
    </row>
    <row r="30" spans="7:19" x14ac:dyDescent="0.35">
      <c r="G30" s="157"/>
      <c r="H30" s="157"/>
      <c r="I30" s="157"/>
      <c r="J30" s="157"/>
      <c r="K30" s="157"/>
      <c r="L30" s="157"/>
      <c r="M30" s="157"/>
      <c r="N30" s="154"/>
      <c r="O30" s="154"/>
      <c r="P30" s="192" t="s">
        <v>68</v>
      </c>
      <c r="Q30" s="192"/>
      <c r="R30" s="192"/>
      <c r="S30" s="192"/>
    </row>
    <row r="31" spans="7:19" x14ac:dyDescent="0.35"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</row>
    <row r="32" spans="7:19" x14ac:dyDescent="0.35"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</row>
  </sheetData>
  <mergeCells count="10">
    <mergeCell ref="G8:S9"/>
    <mergeCell ref="P30:S30"/>
    <mergeCell ref="G10:S10"/>
    <mergeCell ref="P26:S26"/>
    <mergeCell ref="G25:M25"/>
    <mergeCell ref="G26:M26"/>
    <mergeCell ref="G22:S22"/>
    <mergeCell ref="G21:S21"/>
    <mergeCell ref="P25:S25"/>
    <mergeCell ref="G23:P23"/>
  </mergeCells>
  <hyperlinks>
    <hyperlink ref="P29" r:id="rId1" xr:uid="{401BACC4-0332-43FC-A2EC-48A53F078160}"/>
    <hyperlink ref="P30" r:id="rId2" xr:uid="{594E8DF3-DB96-4189-8901-E148DA3F9316}"/>
    <hyperlink ref="P29:S29" r:id="rId3" location="shares" display="www.romcarbon.com" xr:uid="{FA73D314-5CA3-4FA3-B5E5-362A23C8D6E4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3E70-442B-4517-AA26-39466085205B}">
  <dimension ref="A1:AI90"/>
  <sheetViews>
    <sheetView showGridLines="0" topLeftCell="A64" zoomScale="90" zoomScaleNormal="90" workbookViewId="0">
      <selection activeCell="B16" sqref="B16"/>
    </sheetView>
  </sheetViews>
  <sheetFormatPr defaultColWidth="9.08984375" defaultRowHeight="14.5" x14ac:dyDescent="0.35"/>
  <cols>
    <col min="1" max="1" width="22.6328125" style="24" customWidth="1"/>
    <col min="2" max="2" width="16.6328125" style="24" bestFit="1" customWidth="1"/>
    <col min="3" max="3" width="17.54296875" style="24" bestFit="1" customWidth="1"/>
    <col min="4" max="4" width="22.08984375" style="24" customWidth="1"/>
    <col min="5" max="5" width="14.08984375" style="24" bestFit="1" customWidth="1"/>
    <col min="6" max="6" width="14.54296875" style="24" bestFit="1" customWidth="1"/>
    <col min="7" max="7" width="13.453125" style="24" bestFit="1" customWidth="1"/>
    <col min="8" max="8" width="12.90625" style="24" bestFit="1" customWidth="1"/>
    <col min="9" max="9" width="13.90625" style="24" bestFit="1" customWidth="1"/>
    <col min="10" max="10" width="8.6328125" style="24" bestFit="1" customWidth="1"/>
    <col min="11" max="11" width="4.36328125" style="24" customWidth="1"/>
    <col min="12" max="12" width="25.6328125" style="32" bestFit="1" customWidth="1"/>
    <col min="13" max="13" width="3" style="24" customWidth="1"/>
    <col min="14" max="14" width="16.08984375" style="32" bestFit="1" customWidth="1"/>
    <col min="15" max="15" width="2.90625" style="24" customWidth="1"/>
    <col min="16" max="16" width="9.36328125" style="24" bestFit="1" customWidth="1"/>
    <col min="17" max="17" width="22.90625" style="24" customWidth="1"/>
    <col min="18" max="18" width="24.90625" style="24" customWidth="1"/>
    <col min="19" max="19" width="3.36328125" style="24" customWidth="1"/>
    <col min="20" max="20" width="9.36328125" style="24" bestFit="1" customWidth="1"/>
    <col min="21" max="23" width="9.08984375" style="24"/>
    <col min="24" max="24" width="9.08984375" style="32"/>
    <col min="25" max="25" width="9.08984375" style="24"/>
    <col min="26" max="26" width="3.54296875" style="24" customWidth="1"/>
    <col min="27" max="27" width="9.08984375" style="24"/>
    <col min="28" max="28" width="20.90625" style="24" bestFit="1" customWidth="1"/>
    <col min="29" max="29" width="33.453125" style="24" customWidth="1"/>
    <col min="30" max="31" width="9.08984375" style="24"/>
    <col min="32" max="32" width="34.36328125" style="24" bestFit="1" customWidth="1"/>
    <col min="33" max="34" width="16" style="24" bestFit="1" customWidth="1"/>
    <col min="35" max="16384" width="9.08984375" style="24"/>
  </cols>
  <sheetData>
    <row r="1" spans="1:35" x14ac:dyDescent="0.35">
      <c r="A1" s="26" t="str">
        <f>A4&amp;" vs. "&amp;A5</f>
        <v>Active pe termen lung vs. Active curente</v>
      </c>
      <c r="B1" s="26"/>
    </row>
    <row r="2" spans="1:35" x14ac:dyDescent="0.35">
      <c r="L2" s="32" t="s">
        <v>69</v>
      </c>
      <c r="N2" s="32" t="s">
        <v>70</v>
      </c>
      <c r="X2" s="32" t="s">
        <v>71</v>
      </c>
    </row>
    <row r="3" spans="1:35" x14ac:dyDescent="0.35">
      <c r="B3" s="28">
        <v>2017</v>
      </c>
      <c r="C3" s="28">
        <f>B3+1</f>
        <v>2018</v>
      </c>
      <c r="D3" s="28">
        <f t="shared" ref="D3:H3" si="0">C3+1</f>
        <v>2019</v>
      </c>
      <c r="E3" s="28">
        <f t="shared" si="0"/>
        <v>2020</v>
      </c>
      <c r="F3" s="28">
        <f t="shared" si="0"/>
        <v>2021</v>
      </c>
      <c r="G3" s="28">
        <f t="shared" si="0"/>
        <v>2022</v>
      </c>
      <c r="H3" s="28">
        <f t="shared" si="0"/>
        <v>2023</v>
      </c>
      <c r="L3" s="32" t="s">
        <v>86</v>
      </c>
      <c r="N3" s="32" t="s">
        <v>88</v>
      </c>
      <c r="P3" s="24">
        <v>1</v>
      </c>
      <c r="Q3" s="24" t="s">
        <v>89</v>
      </c>
      <c r="R3" s="24" t="s">
        <v>80</v>
      </c>
      <c r="S3" s="24">
        <f>IF(Q3=$A$8,P3,"")</f>
        <v>1</v>
      </c>
      <c r="T3" s="24">
        <f>SMALL($S$3:$S$10,ROWS(S3:$S$3))</f>
        <v>1</v>
      </c>
      <c r="U3" s="24" t="str">
        <f>VLOOKUP(T3,$P$3:$R$10,3,0)</f>
        <v>Active pe termen lung</v>
      </c>
      <c r="X3" s="32" t="s">
        <v>80</v>
      </c>
      <c r="AA3" s="24">
        <v>1</v>
      </c>
      <c r="AB3" s="35" t="s">
        <v>80</v>
      </c>
      <c r="AC3" s="24" t="s">
        <v>1</v>
      </c>
      <c r="AD3" s="24" t="str">
        <f>IF(AB3=Grafice!$F$20,HiddenPage!AA3,"")</f>
        <v/>
      </c>
      <c r="AE3" s="24">
        <f>SMALL($AD$3:$AD$26,ROWS($AD3:AD$3))</f>
        <v>20</v>
      </c>
      <c r="AF3" s="24" t="str">
        <f>IF(ISERROR(VLOOKUP(AE3,$AA$3:$AC$30,3,0)),"",VLOOKUP(AE3,$AA$3:$AC$30,3,0))</f>
        <v xml:space="preserve">Datorii comerciale </v>
      </c>
      <c r="AG3" s="48">
        <f>SUMIF('1.Pozitia Financiara'!A:A,HiddenPage!AF3,'1.Pozitia Financiara'!C:C)+SUMIF('1.Pozitia Financiara'!A:A,HiddenPage!AF3,'1.Pozitia Financiara'!D:D)+SUMIF('1.Pozitia Financiara'!A:A,HiddenPage!AF3,'1.Pozitia Financiara'!E:E)+SUMIF('1.Pozitia Financiara'!A:A,HiddenPage!AF3,'1.Pozitia Financiara'!F:F)+SUMIF('1.Pozitia Financiara'!A:A,HiddenPage!AF3,'1.Pozitia Financiara'!G:G)+SUMIF('1.Pozitia Financiara'!A:A,HiddenPage!AF3,'1.Pozitia Financiara'!H:H)+SUMIF('1.Pozitia Financiara'!A:A,HiddenPage!AF3,'1.Pozitia Financiara'!B:B)</f>
        <v>212876623.16</v>
      </c>
      <c r="AH3" s="49">
        <f>LARGE($AG$3:$AG$13,ROWS(AF3:$AF$3))</f>
        <v>298867277.10000002</v>
      </c>
      <c r="AI3" s="40" t="str">
        <f t="shared" ref="AI3:AI13" si="1">INDEX(AF:AF,MATCH(AH3,AG:AG,0))</f>
        <v>Alte datorii financiare curente</v>
      </c>
    </row>
    <row r="4" spans="1:35" x14ac:dyDescent="0.35">
      <c r="A4" s="27" t="str">
        <f>Grafice!F2</f>
        <v>Active pe termen lung</v>
      </c>
      <c r="B4" s="29">
        <f>SUMIF('1.Pozitia Financiara'!$A:$A,$A4,'1.Pozitia Financiara'!B:B)</f>
        <v>210024646.26000002</v>
      </c>
      <c r="C4" s="29">
        <f>SUMIF('1.Pozitia Financiara'!$A:$A,$A4,'1.Pozitia Financiara'!C:C)</f>
        <v>170408687.35000002</v>
      </c>
      <c r="D4" s="29">
        <f>SUMIF('1.Pozitia Financiara'!$A:$A,$A4,'1.Pozitia Financiara'!D:D)</f>
        <v>163480244.93000001</v>
      </c>
      <c r="E4" s="29">
        <f>SUMIF('1.Pozitia Financiara'!$A:$A,$A4,'1.Pozitia Financiara'!E:E)</f>
        <v>152917930.06</v>
      </c>
      <c r="F4" s="29">
        <f>SUMIF('1.Pozitia Financiara'!$A:$A,$A4,'1.Pozitia Financiara'!F:F)</f>
        <v>138364502</v>
      </c>
      <c r="G4" s="29">
        <f>SUMIF('1.Pozitia Financiara'!$A:$A,$A4,'1.Pozitia Financiara'!G:G)</f>
        <v>133313884</v>
      </c>
      <c r="H4" s="29">
        <f>SUMIF('1.Pozitia Financiara'!$A:$A,$A4,'1.Pozitia Financiara'!H:H)</f>
        <v>118936705</v>
      </c>
      <c r="L4" s="32" t="s">
        <v>87</v>
      </c>
      <c r="N4" s="32" t="s">
        <v>89</v>
      </c>
      <c r="P4" s="24">
        <v>2</v>
      </c>
      <c r="Q4" s="24" t="s">
        <v>89</v>
      </c>
      <c r="R4" s="24" t="s">
        <v>81</v>
      </c>
      <c r="S4" s="24">
        <f t="shared" ref="S4:S10" si="2">IF(Q4=$A$8,P4,"")</f>
        <v>2</v>
      </c>
      <c r="T4" s="24">
        <f>SMALL($S$3:$S$10,ROWS(S$3:$S4))</f>
        <v>2</v>
      </c>
      <c r="U4" s="24" t="str">
        <f t="shared" ref="U4:U10" si="3">VLOOKUP(T4,$P$3:$R$10,3,0)</f>
        <v>Active curente</v>
      </c>
      <c r="X4" s="32" t="s">
        <v>81</v>
      </c>
      <c r="AA4" s="24">
        <f>AA3+1</f>
        <v>2</v>
      </c>
      <c r="AB4" s="35" t="s">
        <v>80</v>
      </c>
      <c r="AC4" s="24" t="s">
        <v>2</v>
      </c>
      <c r="AD4" s="24" t="str">
        <f>IF(AB4=Grafice!$F$20,HiddenPage!AA4,"")</f>
        <v/>
      </c>
      <c r="AE4" s="24">
        <f>SMALL($AD$3:$AD$26,ROWS($AD$3:AD4))</f>
        <v>21</v>
      </c>
      <c r="AF4" s="24" t="str">
        <f t="shared" ref="AF4:AF22" si="4">IF(ISERROR(VLOOKUP(AE4,$AA$3:$AC$30,3,0)),"",VLOOKUP(AE4,$AA$3:$AC$30,3,0))</f>
        <v>Alte datorii financiare curente</v>
      </c>
      <c r="AG4" s="48">
        <f>SUMIF('1.Pozitia Financiara'!A:A,HiddenPage!AF4,'1.Pozitia Financiara'!C:C)+SUMIF('1.Pozitia Financiara'!A:A,HiddenPage!AF4,'1.Pozitia Financiara'!D:D)+SUMIF('1.Pozitia Financiara'!A:A,HiddenPage!AF4,'1.Pozitia Financiara'!E:E)+SUMIF('1.Pozitia Financiara'!A:A,HiddenPage!AF4,'1.Pozitia Financiara'!F:F)+SUMIF('1.Pozitia Financiara'!A:A,HiddenPage!AF4,'1.Pozitia Financiara'!G:G)+SUMIF('1.Pozitia Financiara'!A:A,HiddenPage!AF4,'1.Pozitia Financiara'!H:H)+SUMIF('1.Pozitia Financiara'!A:A,HiddenPage!AF4,'1.Pozitia Financiara'!B:B)</f>
        <v>298867277.10000002</v>
      </c>
      <c r="AH4" s="49">
        <f>LARGE($AG$3:$AG$13,ROWS(AF$3:$AF4))</f>
        <v>212876623.16</v>
      </c>
      <c r="AI4" s="40" t="str">
        <f t="shared" si="1"/>
        <v xml:space="preserve">Datorii comerciale </v>
      </c>
    </row>
    <row r="5" spans="1:35" x14ac:dyDescent="0.35">
      <c r="A5" s="27" t="str">
        <f>Grafice!F3</f>
        <v>Active curente</v>
      </c>
      <c r="B5" s="29">
        <f>SUMIF('1.Pozitia Financiara'!$A:$A,$A5,'1.Pozitia Financiara'!B:B)</f>
        <v>59667442.590000004</v>
      </c>
      <c r="C5" s="29">
        <f>SUMIF('1.Pozitia Financiara'!$A:$A,$A5,'1.Pozitia Financiara'!C:C)</f>
        <v>82932100.889999986</v>
      </c>
      <c r="D5" s="29">
        <f>SUMIF('1.Pozitia Financiara'!$A:$A,$A5,'1.Pozitia Financiara'!D:D)</f>
        <v>82714659.589999989</v>
      </c>
      <c r="E5" s="29">
        <f>SUMIF('1.Pozitia Financiara'!$A:$A,$A5,'1.Pozitia Financiara'!E:E)</f>
        <v>78436250.86999999</v>
      </c>
      <c r="F5" s="29">
        <f>SUMIF('1.Pozitia Financiara'!$A:$A,$A5,'1.Pozitia Financiara'!F:F)</f>
        <v>105658368</v>
      </c>
      <c r="G5" s="29">
        <f>SUMIF('1.Pozitia Financiara'!$A:$A,$A5,'1.Pozitia Financiara'!G:G)</f>
        <v>146753533</v>
      </c>
      <c r="H5" s="29">
        <f>SUMIF('1.Pozitia Financiara'!$A:$A,$A5,'1.Pozitia Financiara'!H:H)</f>
        <v>122197548</v>
      </c>
      <c r="L5" s="32" t="s">
        <v>6</v>
      </c>
      <c r="N5" s="32" t="s">
        <v>11</v>
      </c>
      <c r="P5" s="24">
        <v>3</v>
      </c>
      <c r="Q5" s="24" t="s">
        <v>88</v>
      </c>
      <c r="R5" s="24" t="s">
        <v>86</v>
      </c>
      <c r="S5" s="24" t="str">
        <f t="shared" si="2"/>
        <v/>
      </c>
      <c r="T5" s="24" t="e">
        <f>SMALL($S$3:$S$10,ROWS(S$3:$S5))</f>
        <v>#NUM!</v>
      </c>
      <c r="U5" s="24" t="e">
        <f t="shared" si="3"/>
        <v>#NUM!</v>
      </c>
      <c r="X5" s="32" t="s">
        <v>86</v>
      </c>
      <c r="AA5" s="24">
        <f t="shared" ref="AA5:AA27" si="5">AA4+1</f>
        <v>3</v>
      </c>
      <c r="AB5" s="35" t="s">
        <v>80</v>
      </c>
      <c r="AC5" s="24" t="s">
        <v>3</v>
      </c>
      <c r="AD5" s="24" t="str">
        <f>IF(AB5=Grafice!$F$20,HiddenPage!AA5,"")</f>
        <v/>
      </c>
      <c r="AE5" s="24">
        <f>SMALL($AD$3:$AD$26,ROWS($AD$3:AD5))</f>
        <v>22</v>
      </c>
      <c r="AF5" s="24" t="str">
        <f t="shared" si="4"/>
        <v>Alte datorii nefinanciare curente</v>
      </c>
      <c r="AG5" s="48">
        <f>SUMIF('1.Pozitia Financiara'!A:A,HiddenPage!AF5,'1.Pozitia Financiara'!C:C)+SUMIF('1.Pozitia Financiara'!A:A,HiddenPage!AF5,'1.Pozitia Financiara'!D:D)+SUMIF('1.Pozitia Financiara'!A:A,HiddenPage!AF5,'1.Pozitia Financiara'!E:E)+SUMIF('1.Pozitia Financiara'!A:A,HiddenPage!AF5,'1.Pozitia Financiara'!F:F)+SUMIF('1.Pozitia Financiara'!A:A,HiddenPage!AF5,'1.Pozitia Financiara'!G:G)+SUMIF('1.Pozitia Financiara'!A:A,HiddenPage!AF5,'1.Pozitia Financiara'!H:H)+SUMIF('1.Pozitia Financiara'!A:A,HiddenPage!AF5,'1.Pozitia Financiara'!B:B)</f>
        <v>35681506.869999997</v>
      </c>
      <c r="AH5" s="49">
        <f>LARGE($AG$3:$AG$13,ROWS(AF$3:$AF5))</f>
        <v>35681506.869999997</v>
      </c>
      <c r="AI5" s="40" t="str">
        <f t="shared" si="1"/>
        <v>Alte datorii nefinanciare curente</v>
      </c>
    </row>
    <row r="6" spans="1:35" x14ac:dyDescent="0.35">
      <c r="L6" s="32" t="s">
        <v>82</v>
      </c>
      <c r="N6" s="32" t="s">
        <v>107</v>
      </c>
      <c r="P6" s="24">
        <v>4</v>
      </c>
      <c r="Q6" s="24" t="s">
        <v>88</v>
      </c>
      <c r="R6" s="24" t="s">
        <v>87</v>
      </c>
      <c r="S6" s="24" t="str">
        <f t="shared" si="2"/>
        <v/>
      </c>
      <c r="T6" s="24" t="e">
        <f>SMALL($S$3:$S$10,ROWS(S$3:$S6))</f>
        <v>#NUM!</v>
      </c>
      <c r="U6" s="24" t="e">
        <f t="shared" si="3"/>
        <v>#NUM!</v>
      </c>
      <c r="X6" s="32" t="s">
        <v>87</v>
      </c>
      <c r="AA6" s="24">
        <f t="shared" si="5"/>
        <v>4</v>
      </c>
      <c r="AB6" s="35" t="s">
        <v>80</v>
      </c>
      <c r="AC6" s="24" t="s">
        <v>4</v>
      </c>
      <c r="AD6" s="24" t="str">
        <f>IF(AB6=Grafice!$F$20,HiddenPage!AA6,"")</f>
        <v/>
      </c>
      <c r="AE6" s="24" t="e">
        <f>SMALL($AD$3:$AD$26,ROWS($AD$3:AD6))</f>
        <v>#NUM!</v>
      </c>
      <c r="AF6" s="24" t="str">
        <f t="shared" si="4"/>
        <v/>
      </c>
      <c r="AG6" s="48">
        <f>SUMIF('1.Pozitia Financiara'!A:A,HiddenPage!AF6,'1.Pozitia Financiara'!C:C)+SUMIF('1.Pozitia Financiara'!A:A,HiddenPage!AF6,'1.Pozitia Financiara'!D:D)+SUMIF('1.Pozitia Financiara'!A:A,HiddenPage!AF6,'1.Pozitia Financiara'!E:E)+SUMIF('1.Pozitia Financiara'!A:A,HiddenPage!AF6,'1.Pozitia Financiara'!F:F)+SUMIF('1.Pozitia Financiara'!A:A,HiddenPage!AF6,'1.Pozitia Financiara'!G:G)+SUMIF('1.Pozitia Financiara'!A:A,HiddenPage!AF6,'1.Pozitia Financiara'!H:H)+SUMIF('1.Pozitia Financiara'!A:A,HiddenPage!AF6,'1.Pozitia Financiara'!B:B)</f>
        <v>0</v>
      </c>
      <c r="AH6" s="49">
        <f>LARGE($AG$3:$AG$13,ROWS(AF$3:$AF6))</f>
        <v>0</v>
      </c>
      <c r="AI6" s="40" t="str">
        <f t="shared" si="1"/>
        <v/>
      </c>
    </row>
    <row r="7" spans="1:35" x14ac:dyDescent="0.35">
      <c r="A7" s="26" t="str">
        <f>A10&amp;" vs. "&amp;A11</f>
        <v>Active pe termen lung vs. Active curente</v>
      </c>
      <c r="B7" s="26"/>
      <c r="C7" s="26"/>
      <c r="D7" s="25" t="str">
        <f>I9&amp;" structura indicatorului "&amp;A8</f>
        <v>2023 structura indicatorului Active</v>
      </c>
      <c r="E7" s="25"/>
      <c r="L7" s="32" t="s">
        <v>86</v>
      </c>
      <c r="P7" s="24">
        <v>5</v>
      </c>
      <c r="Q7" s="24" t="s">
        <v>11</v>
      </c>
      <c r="R7" s="24" t="s">
        <v>172</v>
      </c>
      <c r="S7" s="24" t="str">
        <f t="shared" si="2"/>
        <v/>
      </c>
      <c r="T7" s="24" t="e">
        <f>SMALL($S$3:$S$10,ROWS(S$3:$S7))</f>
        <v>#NUM!</v>
      </c>
      <c r="U7" s="24" t="e">
        <f t="shared" si="3"/>
        <v>#NUM!</v>
      </c>
      <c r="X7" s="32" t="s">
        <v>82</v>
      </c>
      <c r="AA7" s="24">
        <f t="shared" si="5"/>
        <v>5</v>
      </c>
      <c r="AB7" s="35" t="s">
        <v>81</v>
      </c>
      <c r="AC7" s="24" t="s">
        <v>144</v>
      </c>
      <c r="AD7" s="24" t="str">
        <f>IF(AB7=Grafice!$F$20,HiddenPage!AA7,"")</f>
        <v/>
      </c>
      <c r="AE7" s="24" t="e">
        <f>SMALL($AD$3:$AD$26,ROWS($AD$3:AD7))</f>
        <v>#NUM!</v>
      </c>
      <c r="AF7" s="24" t="str">
        <f t="shared" si="4"/>
        <v/>
      </c>
      <c r="AG7" s="48">
        <f>SUMIF('1.Pozitia Financiara'!A:A,HiddenPage!AF7,'1.Pozitia Financiara'!C:C)+SUMIF('1.Pozitia Financiara'!A:A,HiddenPage!AF7,'1.Pozitia Financiara'!D:D)+SUMIF('1.Pozitia Financiara'!A:A,HiddenPage!AF7,'1.Pozitia Financiara'!E:E)+SUMIF('1.Pozitia Financiara'!A:A,HiddenPage!AF7,'1.Pozitia Financiara'!F:F)+SUMIF('1.Pozitia Financiara'!A:A,HiddenPage!AF7,'1.Pozitia Financiara'!G:G)+SUMIF('1.Pozitia Financiara'!A:A,HiddenPage!AF7,'1.Pozitia Financiara'!H:H)+SUMIF('1.Pozitia Financiara'!A:A,HiddenPage!AF7,'1.Pozitia Financiara'!B:B)</f>
        <v>0</v>
      </c>
      <c r="AH7" s="49">
        <f>LARGE($AG$3:$AG$13,ROWS(AF$3:$AF7))</f>
        <v>0</v>
      </c>
      <c r="AI7" s="40" t="str">
        <f t="shared" si="1"/>
        <v/>
      </c>
    </row>
    <row r="8" spans="1:35" x14ac:dyDescent="0.35">
      <c r="A8" s="24" t="str">
        <f>Grafice!N2</f>
        <v>Active</v>
      </c>
      <c r="B8" s="24">
        <f>IF(B9=Grafice!$U$2,1,0)</f>
        <v>0</v>
      </c>
      <c r="C8" s="24">
        <f>IF(C9=Grafice!$U$2,1,0)</f>
        <v>0</v>
      </c>
      <c r="D8" s="24">
        <f>IF(D9=Grafice!$U$2,1,0)</f>
        <v>0</v>
      </c>
      <c r="E8" s="24">
        <f>IF(E9=Grafice!$U$2,1,0)</f>
        <v>0</v>
      </c>
      <c r="F8" s="24">
        <f>IF(F9=Grafice!$U$2,1,0)</f>
        <v>0</v>
      </c>
      <c r="G8" s="24">
        <f>IF(G9=Grafice!$U$2,1,0)</f>
        <v>0</v>
      </c>
      <c r="H8" s="24">
        <f>IF(H9=Grafice!$U$2,1,0)</f>
        <v>1</v>
      </c>
      <c r="L8" s="32" t="s">
        <v>87</v>
      </c>
      <c r="P8" s="24">
        <v>6</v>
      </c>
      <c r="Q8" s="24" t="s">
        <v>11</v>
      </c>
      <c r="R8" s="35" t="s">
        <v>155</v>
      </c>
      <c r="S8" s="24" t="str">
        <f t="shared" si="2"/>
        <v/>
      </c>
      <c r="T8" s="24" t="e">
        <f>SMALL($S$3:$S$10,ROWS(S$3:$S8))</f>
        <v>#NUM!</v>
      </c>
      <c r="U8" s="24" t="e">
        <f t="shared" si="3"/>
        <v>#NUM!</v>
      </c>
      <c r="AA8" s="24">
        <f t="shared" si="5"/>
        <v>6</v>
      </c>
      <c r="AB8" s="35" t="s">
        <v>81</v>
      </c>
      <c r="AC8" s="24" t="s">
        <v>5</v>
      </c>
      <c r="AD8" s="24" t="str">
        <f>IF(AB8=Grafice!$F$20,HiddenPage!AA8,"")</f>
        <v/>
      </c>
      <c r="AE8" s="24" t="e">
        <f>SMALL($AD$3:$AD$26,ROWS($AD$3:AD8))</f>
        <v>#NUM!</v>
      </c>
      <c r="AF8" s="24" t="str">
        <f t="shared" si="4"/>
        <v/>
      </c>
      <c r="AG8" s="48">
        <f>SUMIF('1.Pozitia Financiara'!A:A,HiddenPage!AF8,'1.Pozitia Financiara'!C:C)+SUMIF('1.Pozitia Financiara'!A:A,HiddenPage!AF8,'1.Pozitia Financiara'!D:D)+SUMIF('1.Pozitia Financiara'!A:A,HiddenPage!AF8,'1.Pozitia Financiara'!E:E)+SUMIF('1.Pozitia Financiara'!A:A,HiddenPage!AF8,'1.Pozitia Financiara'!F:F)+SUMIF('1.Pozitia Financiara'!A:A,HiddenPage!AF8,'1.Pozitia Financiara'!G:G)+SUMIF('1.Pozitia Financiara'!A:A,HiddenPage!AF8,'1.Pozitia Financiara'!H:H)+SUMIF('1.Pozitia Financiara'!A:A,HiddenPage!AF8,'1.Pozitia Financiara'!B:B)</f>
        <v>0</v>
      </c>
      <c r="AH8" s="49">
        <f>LARGE($AG$3:$AG$13,ROWS(AF$3:$AF8))</f>
        <v>0</v>
      </c>
      <c r="AI8" s="40" t="str">
        <f t="shared" si="1"/>
        <v/>
      </c>
    </row>
    <row r="9" spans="1:35" x14ac:dyDescent="0.35">
      <c r="B9" s="28">
        <f>B3</f>
        <v>2017</v>
      </c>
      <c r="C9" s="28">
        <f>B9+1</f>
        <v>2018</v>
      </c>
      <c r="D9" s="28">
        <f t="shared" ref="D9:H9" si="6">C9+1</f>
        <v>2019</v>
      </c>
      <c r="E9" s="28">
        <f t="shared" si="6"/>
        <v>2020</v>
      </c>
      <c r="F9" s="28">
        <f t="shared" si="6"/>
        <v>2021</v>
      </c>
      <c r="G9" s="28">
        <f t="shared" si="6"/>
        <v>2022</v>
      </c>
      <c r="H9" s="28">
        <f t="shared" si="6"/>
        <v>2023</v>
      </c>
      <c r="I9" s="28">
        <f>Grafice!U2</f>
        <v>2023</v>
      </c>
      <c r="L9" s="32" t="s">
        <v>13</v>
      </c>
      <c r="P9" s="24">
        <v>7</v>
      </c>
      <c r="Q9" s="24" t="s">
        <v>107</v>
      </c>
      <c r="R9" s="24" t="s">
        <v>13</v>
      </c>
      <c r="S9" s="24" t="str">
        <f t="shared" si="2"/>
        <v/>
      </c>
      <c r="T9" s="24" t="e">
        <f>SMALL($S$3:$S$10,ROWS(S$3:$S9))</f>
        <v>#NUM!</v>
      </c>
      <c r="U9" s="24" t="e">
        <f t="shared" si="3"/>
        <v>#NUM!</v>
      </c>
      <c r="AA9" s="24">
        <f t="shared" si="5"/>
        <v>7</v>
      </c>
      <c r="AB9" s="35" t="s">
        <v>81</v>
      </c>
      <c r="AC9" s="24" t="s">
        <v>145</v>
      </c>
      <c r="AD9" s="24" t="str">
        <f>IF(AB9=Grafice!$F$20,HiddenPage!AA9,"")</f>
        <v/>
      </c>
      <c r="AE9" s="24" t="e">
        <f>SMALL($AD$3:$AD$26,ROWS($AD$3:AD9))</f>
        <v>#NUM!</v>
      </c>
      <c r="AF9" s="24" t="str">
        <f t="shared" si="4"/>
        <v/>
      </c>
      <c r="AG9" s="48">
        <f>SUMIF('1.Pozitia Financiara'!A:A,HiddenPage!AF9,'1.Pozitia Financiara'!C:C)+SUMIF('1.Pozitia Financiara'!A:A,HiddenPage!AF9,'1.Pozitia Financiara'!D:D)+SUMIF('1.Pozitia Financiara'!A:A,HiddenPage!AF9,'1.Pozitia Financiara'!E:E)+SUMIF('1.Pozitia Financiara'!A:A,HiddenPage!AF9,'1.Pozitia Financiara'!F:F)+SUMIF('1.Pozitia Financiara'!A:A,HiddenPage!AF9,'1.Pozitia Financiara'!G:G)+SUMIF('1.Pozitia Financiara'!A:A,HiddenPage!AF9,'1.Pozitia Financiara'!H:H)+SUMIF('1.Pozitia Financiara'!A:A,HiddenPage!AF9,'1.Pozitia Financiara'!B:B)</f>
        <v>0</v>
      </c>
      <c r="AH9" s="49">
        <f>LARGE($AG$3:$AG$13,ROWS(AF$3:$AF9))</f>
        <v>0</v>
      </c>
      <c r="AI9" s="40" t="str">
        <f t="shared" si="1"/>
        <v/>
      </c>
    </row>
    <row r="10" spans="1:35" x14ac:dyDescent="0.35">
      <c r="A10" s="27" t="str">
        <f>U3</f>
        <v>Active pe termen lung</v>
      </c>
      <c r="B10" s="29">
        <f>SUMIF('1.Pozitia Financiara'!$A:$A,$A45,'1.Pozitia Financiara'!B:B)</f>
        <v>210024646.26000002</v>
      </c>
      <c r="C10" s="29">
        <f>SUMIF('1.Pozitia Financiara'!$A:$A,$A45,'1.Pozitia Financiara'!C:C)</f>
        <v>170408687.35000002</v>
      </c>
      <c r="D10" s="29">
        <f>SUMIF('1.Pozitia Financiara'!$A:$A,$A45,'1.Pozitia Financiara'!D:D)</f>
        <v>163480244.93000001</v>
      </c>
      <c r="E10" s="29">
        <f>SUMIF('1.Pozitia Financiara'!$A:$A,$A45,'1.Pozitia Financiara'!E:E)</f>
        <v>152917930.06</v>
      </c>
      <c r="F10" s="29">
        <f>SUMIF('1.Pozitia Financiara'!$A:$A,$A45,'1.Pozitia Financiara'!F:F)</f>
        <v>138364502</v>
      </c>
      <c r="G10" s="29">
        <f>SUMIF('1.Pozitia Financiara'!$A:$A,$A45,'1.Pozitia Financiara'!G:G)</f>
        <v>133313884</v>
      </c>
      <c r="H10" s="29">
        <f>SUMIF('1.Pozitia Financiara'!$A:$A,$A45,'1.Pozitia Financiara'!H:H)</f>
        <v>118936705</v>
      </c>
      <c r="I10" s="29">
        <f>SUMPRODUCT(B10:H10,$B$8:$H$8)</f>
        <v>118936705</v>
      </c>
      <c r="L10" s="32" t="s">
        <v>14</v>
      </c>
      <c r="P10" s="24">
        <v>8</v>
      </c>
      <c r="Q10" s="24" t="s">
        <v>107</v>
      </c>
      <c r="R10" s="24" t="s">
        <v>82</v>
      </c>
      <c r="S10" s="24" t="str">
        <f t="shared" si="2"/>
        <v/>
      </c>
      <c r="T10" s="24" t="e">
        <f>SMALL($S$3:$S$10,ROWS(S$3:$S10))</f>
        <v>#NUM!</v>
      </c>
      <c r="U10" s="24" t="e">
        <f t="shared" si="3"/>
        <v>#NUM!</v>
      </c>
      <c r="AA10" s="24">
        <f t="shared" si="5"/>
        <v>8</v>
      </c>
      <c r="AB10" s="35" t="s">
        <v>81</v>
      </c>
      <c r="AC10" s="24" t="s">
        <v>146</v>
      </c>
      <c r="AD10" s="24" t="str">
        <f>IF(AB10=Grafice!$F$20,HiddenPage!AA10,"")</f>
        <v/>
      </c>
      <c r="AE10" s="24" t="e">
        <f>SMALL($AD$3:$AD$26,ROWS($AD$3:AD10))</f>
        <v>#NUM!</v>
      </c>
      <c r="AF10" s="24" t="str">
        <f t="shared" si="4"/>
        <v/>
      </c>
      <c r="AG10" s="48">
        <f>SUMIF('1.Pozitia Financiara'!A:A,HiddenPage!AF10,'1.Pozitia Financiara'!C:C)+SUMIF('1.Pozitia Financiara'!A:A,HiddenPage!AF10,'1.Pozitia Financiara'!D:D)+SUMIF('1.Pozitia Financiara'!A:A,HiddenPage!AF10,'1.Pozitia Financiara'!E:E)+SUMIF('1.Pozitia Financiara'!A:A,HiddenPage!AF10,'1.Pozitia Financiara'!F:F)+SUMIF('1.Pozitia Financiara'!A:A,HiddenPage!AF10,'1.Pozitia Financiara'!G:G)+SUMIF('1.Pozitia Financiara'!A:A,HiddenPage!AF10,'1.Pozitia Financiara'!H:H)+SUMIF('1.Pozitia Financiara'!A:A,HiddenPage!AF10,'1.Pozitia Financiara'!B:B)</f>
        <v>0</v>
      </c>
      <c r="AH10" s="49">
        <f>LARGE($AG$3:$AG$13,ROWS(AF$3:$AF10))</f>
        <v>0</v>
      </c>
      <c r="AI10" s="40" t="str">
        <f t="shared" si="1"/>
        <v/>
      </c>
    </row>
    <row r="11" spans="1:35" x14ac:dyDescent="0.35">
      <c r="A11" s="27" t="str">
        <f>U4</f>
        <v>Active curente</v>
      </c>
      <c r="B11" s="29">
        <f>SUMIF('1.Pozitia Financiara'!$A:$A,$A46,'1.Pozitia Financiara'!B:B)</f>
        <v>59667442.590000004</v>
      </c>
      <c r="C11" s="29">
        <f>SUMIF('1.Pozitia Financiara'!$A:$A,$A46,'1.Pozitia Financiara'!C:C)</f>
        <v>82932100.889999986</v>
      </c>
      <c r="D11" s="29">
        <f>SUMIF('1.Pozitia Financiara'!$A:$A,$A46,'1.Pozitia Financiara'!D:D)</f>
        <v>82714659.589999989</v>
      </c>
      <c r="E11" s="29">
        <f>SUMIF('1.Pozitia Financiara'!$A:$A,$A46,'1.Pozitia Financiara'!E:E)</f>
        <v>78436250.86999999</v>
      </c>
      <c r="F11" s="29">
        <f>SUMIF('1.Pozitia Financiara'!$A:$A,$A46,'1.Pozitia Financiara'!F:F)</f>
        <v>105658368</v>
      </c>
      <c r="G11" s="29">
        <f>SUMIF('1.Pozitia Financiara'!$A:$A,$A46,'1.Pozitia Financiara'!G:G)</f>
        <v>146753533</v>
      </c>
      <c r="H11" s="29">
        <f>SUMIF('1.Pozitia Financiara'!$A:$A,$A46,'1.Pozitia Financiara'!H:H)</f>
        <v>122197548</v>
      </c>
      <c r="I11" s="29">
        <f>SUMPRODUCT(B11:H11,$B$8:$H$8)</f>
        <v>122197548</v>
      </c>
      <c r="L11" s="32" t="s">
        <v>80</v>
      </c>
      <c r="AA11" s="24">
        <f t="shared" si="5"/>
        <v>9</v>
      </c>
      <c r="AB11" s="35" t="s">
        <v>81</v>
      </c>
      <c r="AC11" s="24" t="s">
        <v>147</v>
      </c>
      <c r="AD11" s="24" t="str">
        <f>IF(AB11=Grafice!$F$20,HiddenPage!AA11,"")</f>
        <v/>
      </c>
      <c r="AE11" s="24" t="e">
        <f>SMALL($AD$3:$AD$26,ROWS($AD$3:AD11))</f>
        <v>#NUM!</v>
      </c>
      <c r="AF11" s="24" t="str">
        <f t="shared" si="4"/>
        <v/>
      </c>
      <c r="AG11" s="48">
        <f>SUMIF('1.Pozitia Financiara'!A:A,HiddenPage!AF11,'1.Pozitia Financiara'!C:C)+SUMIF('1.Pozitia Financiara'!A:A,HiddenPage!AF11,'1.Pozitia Financiara'!D:D)+SUMIF('1.Pozitia Financiara'!A:A,HiddenPage!AF11,'1.Pozitia Financiara'!E:E)+SUMIF('1.Pozitia Financiara'!A:A,HiddenPage!AF11,'1.Pozitia Financiara'!F:F)+SUMIF('1.Pozitia Financiara'!A:A,HiddenPage!AF11,'1.Pozitia Financiara'!G:G)+SUMIF('1.Pozitia Financiara'!A:A,HiddenPage!AF11,'1.Pozitia Financiara'!H:H)+SUMIF('1.Pozitia Financiara'!A:A,HiddenPage!AF11,'1.Pozitia Financiara'!B:B)</f>
        <v>0</v>
      </c>
      <c r="AH11" s="49">
        <f>LARGE($AG$3:$AG$13,ROWS(AF$3:$AF11))</f>
        <v>0</v>
      </c>
      <c r="AI11" s="40" t="str">
        <f t="shared" si="1"/>
        <v/>
      </c>
    </row>
    <row r="12" spans="1:35" x14ac:dyDescent="0.35">
      <c r="L12" s="32" t="s">
        <v>81</v>
      </c>
      <c r="AA12" s="24">
        <f t="shared" si="5"/>
        <v>10</v>
      </c>
      <c r="AB12" s="35" t="s">
        <v>81</v>
      </c>
      <c r="AC12" s="24" t="s">
        <v>148</v>
      </c>
      <c r="AD12" s="24" t="str">
        <f>IF(AB12=Grafice!$F$20,HiddenPage!AA12,"")</f>
        <v/>
      </c>
      <c r="AE12" s="24" t="e">
        <f>SMALL($AD$3:$AD$26,ROWS($AD$3:AD12))</f>
        <v>#NUM!</v>
      </c>
      <c r="AF12" s="24" t="str">
        <f t="shared" si="4"/>
        <v/>
      </c>
      <c r="AG12" s="48">
        <f>SUMIF('1.Pozitia Financiara'!A:A,HiddenPage!AF12,'1.Pozitia Financiara'!C:C)+SUMIF('1.Pozitia Financiara'!A:A,HiddenPage!AF12,'1.Pozitia Financiara'!D:D)+SUMIF('1.Pozitia Financiara'!A:A,HiddenPage!AF12,'1.Pozitia Financiara'!E:E)+SUMIF('1.Pozitia Financiara'!A:A,HiddenPage!AF12,'1.Pozitia Financiara'!F:F)+SUMIF('1.Pozitia Financiara'!A:A,HiddenPage!AF12,'1.Pozitia Financiara'!G:G)+SUMIF('1.Pozitia Financiara'!A:A,HiddenPage!AF12,'1.Pozitia Financiara'!H:H)+SUMIF('1.Pozitia Financiara'!A:A,HiddenPage!AF12,'1.Pozitia Financiara'!B:B)</f>
        <v>0</v>
      </c>
      <c r="AH12" s="49">
        <f>LARGE($AG$3:$AG$13,ROWS(AF$3:$AF12))</f>
        <v>0</v>
      </c>
      <c r="AI12" s="40" t="str">
        <f t="shared" si="1"/>
        <v/>
      </c>
    </row>
    <row r="13" spans="1:35" x14ac:dyDescent="0.35">
      <c r="A13" s="24" t="str">
        <f>"Componenta indicatorului "&amp;Grafice!F20&amp;" in "&amp;Grafice!F21</f>
        <v>Componenta indicatorului Datorii curente in 2023</v>
      </c>
      <c r="L13" s="41" t="s">
        <v>155</v>
      </c>
      <c r="AA13" s="24">
        <f t="shared" si="5"/>
        <v>11</v>
      </c>
      <c r="AB13" s="35" t="s">
        <v>81</v>
      </c>
      <c r="AC13" s="24" t="s">
        <v>149</v>
      </c>
      <c r="AD13" s="24" t="str">
        <f>IF(AB13=Grafice!$F$20,HiddenPage!AA13,"")</f>
        <v/>
      </c>
      <c r="AE13" s="24" t="e">
        <f>SMALL($AD$3:$AD$26,ROWS($AD$3:AD13))</f>
        <v>#NUM!</v>
      </c>
      <c r="AF13" s="24" t="str">
        <f t="shared" si="4"/>
        <v/>
      </c>
      <c r="AG13" s="48">
        <f>SUMIF('1.Pozitia Financiara'!A:A,HiddenPage!AF13,'1.Pozitia Financiara'!C:C)+SUMIF('1.Pozitia Financiara'!A:A,HiddenPage!AF13,'1.Pozitia Financiara'!D:D)+SUMIF('1.Pozitia Financiara'!A:A,HiddenPage!AF13,'1.Pozitia Financiara'!E:E)+SUMIF('1.Pozitia Financiara'!A:A,HiddenPage!AF13,'1.Pozitia Financiara'!F:F)+SUMIF('1.Pozitia Financiara'!A:A,HiddenPage!AF13,'1.Pozitia Financiara'!G:G)+SUMIF('1.Pozitia Financiara'!A:A,HiddenPage!AF13,'1.Pozitia Financiara'!H:H)+SUMIF('1.Pozitia Financiara'!A:A,HiddenPage!AF13,'1.Pozitia Financiara'!B:B)</f>
        <v>0</v>
      </c>
      <c r="AH13" s="49">
        <f>LARGE($AG$3:$AG$13,ROWS(AF$3:$AF13))</f>
        <v>0</v>
      </c>
      <c r="AI13" s="40" t="str">
        <f t="shared" si="1"/>
        <v/>
      </c>
    </row>
    <row r="14" spans="1:35" x14ac:dyDescent="0.35">
      <c r="B14" s="24">
        <f>IF(B15=Grafice!$F$21,1,0)</f>
        <v>0</v>
      </c>
      <c r="C14" s="24">
        <f>IF(C15=Grafice!$F$21,1,0)</f>
        <v>0</v>
      </c>
      <c r="D14" s="24">
        <f>IF(D15=Grafice!$F$21,1,0)</f>
        <v>0</v>
      </c>
      <c r="E14" s="24">
        <f>IF(E15=Grafice!$F$21,1,0)</f>
        <v>0</v>
      </c>
      <c r="F14" s="24">
        <f>IF(F15=Grafice!$F$21,1,0)</f>
        <v>0</v>
      </c>
      <c r="G14" s="24">
        <f>IF(G15=Grafice!$F$21,1,0)</f>
        <v>0</v>
      </c>
      <c r="H14" s="24">
        <f>IF(H15=Grafice!$F$21,1,0)</f>
        <v>1</v>
      </c>
      <c r="L14" s="41" t="s">
        <v>172</v>
      </c>
      <c r="AA14" s="24">
        <f t="shared" si="5"/>
        <v>12</v>
      </c>
      <c r="AB14" s="35" t="s">
        <v>82</v>
      </c>
      <c r="AC14" s="24" t="s">
        <v>7</v>
      </c>
      <c r="AD14" s="24" t="str">
        <f>IF(AB14=Grafice!$F$20,HiddenPage!AA14,"")</f>
        <v/>
      </c>
      <c r="AE14" s="24" t="e">
        <f>SMALL($AD$3:$AD$26,ROWS($AD$3:AD14))</f>
        <v>#NUM!</v>
      </c>
      <c r="AF14" s="24" t="str">
        <f t="shared" si="4"/>
        <v/>
      </c>
    </row>
    <row r="15" spans="1:35" x14ac:dyDescent="0.35">
      <c r="B15" s="28">
        <f>B9</f>
        <v>2017</v>
      </c>
      <c r="C15" s="28">
        <f>B15+1</f>
        <v>2018</v>
      </c>
      <c r="D15" s="28">
        <f t="shared" ref="D15:H15" si="7">C15+1</f>
        <v>2019</v>
      </c>
      <c r="E15" s="28">
        <f t="shared" si="7"/>
        <v>2020</v>
      </c>
      <c r="F15" s="28">
        <f t="shared" si="7"/>
        <v>2021</v>
      </c>
      <c r="G15" s="28">
        <f t="shared" si="7"/>
        <v>2022</v>
      </c>
      <c r="H15" s="28">
        <f t="shared" si="7"/>
        <v>2023</v>
      </c>
      <c r="I15" s="40" t="s">
        <v>110</v>
      </c>
      <c r="J15" s="40" t="s">
        <v>111</v>
      </c>
      <c r="L15" s="32" t="s">
        <v>112</v>
      </c>
      <c r="M15" s="40"/>
      <c r="N15" s="12" t="s">
        <v>113</v>
      </c>
      <c r="O15" s="12"/>
      <c r="P15" s="12"/>
      <c r="Q15" s="12" t="s">
        <v>114</v>
      </c>
      <c r="R15" s="12" t="s">
        <v>115</v>
      </c>
      <c r="AA15" s="24">
        <f t="shared" si="5"/>
        <v>13</v>
      </c>
      <c r="AB15" s="35" t="s">
        <v>82</v>
      </c>
      <c r="AC15" s="24" t="s">
        <v>8</v>
      </c>
      <c r="AD15" s="24" t="str">
        <f>IF(AB15=Grafice!$F$20,HiddenPage!AA15,"")</f>
        <v/>
      </c>
      <c r="AE15" s="24" t="e">
        <f>SMALL($AD$3:$AD$26,ROWS($AD$3:AD15))</f>
        <v>#NUM!</v>
      </c>
      <c r="AF15" s="24" t="str">
        <f t="shared" si="4"/>
        <v/>
      </c>
    </row>
    <row r="16" spans="1:35" x14ac:dyDescent="0.35">
      <c r="A16" s="27" t="str">
        <f>AF3</f>
        <v xml:space="preserve">Datorii comerciale </v>
      </c>
      <c r="B16" s="29">
        <f>SUMIF('1.Pozitia Financiara'!$A:$A,$A16,'1.Pozitia Financiara'!B:B)</f>
        <v>28571443.069999997</v>
      </c>
      <c r="C16" s="29">
        <f>SUMIF('1.Pozitia Financiara'!$A:$A,$A16,'1.Pozitia Financiara'!C:C)</f>
        <v>24537065.359999999</v>
      </c>
      <c r="D16" s="29">
        <f>SUMIF('1.Pozitia Financiara'!$A:$A,$A16,'1.Pozitia Financiara'!D:D)</f>
        <v>23643048.73</v>
      </c>
      <c r="E16" s="29">
        <f>SUMIF('1.Pozitia Financiara'!$A:$A,$A16,'1.Pozitia Financiara'!E:E)</f>
        <v>26129532.000000004</v>
      </c>
      <c r="F16" s="29">
        <f>SUMIF('1.Pozitia Financiara'!$A:$A,$A16,'1.Pozitia Financiara'!F:F)</f>
        <v>37161910</v>
      </c>
      <c r="G16" s="29">
        <f>SUMIF('1.Pozitia Financiara'!$A:$A,$A16,'1.Pozitia Financiara'!G:G)</f>
        <v>48060900</v>
      </c>
      <c r="H16" s="29">
        <f>SUMIF('1.Pozitia Financiara'!$A:$A,$A16,'1.Pozitia Financiara'!H:H)</f>
        <v>24772724</v>
      </c>
      <c r="I16" s="29">
        <f>SUMPRODUCT($B$14:$H$14,B16:H16)</f>
        <v>24772724</v>
      </c>
      <c r="J16" s="51">
        <f>RANK(I16,$I$16:$I$22,0)+COUNTIF($I16:I$22,I16)-1</f>
        <v>2</v>
      </c>
      <c r="L16" s="32">
        <v>1</v>
      </c>
      <c r="M16" s="40"/>
      <c r="N16" s="12" t="str">
        <f>INDEX($A$16:$A$22,MATCH(L16,$J$16:$J$22,0))</f>
        <v>Alte datorii financiare curente</v>
      </c>
      <c r="O16" s="12"/>
      <c r="P16" s="12"/>
      <c r="Q16" s="54">
        <f>SUMIF($A$16:$A$22,N16,$I$16:$I$22)</f>
        <v>38178595</v>
      </c>
      <c r="R16" s="55">
        <f>Q16/$Q$23</f>
        <v>0.55268076829449353</v>
      </c>
      <c r="AA16" s="24">
        <f t="shared" si="5"/>
        <v>14</v>
      </c>
      <c r="AB16" s="35" t="s">
        <v>82</v>
      </c>
      <c r="AC16" s="24" t="s">
        <v>9</v>
      </c>
      <c r="AD16" s="24" t="str">
        <f>IF(AB16=Grafice!$F$20,HiddenPage!AA16,"")</f>
        <v/>
      </c>
      <c r="AE16" s="24" t="e">
        <f>SMALL($AD$3:$AD$26,ROWS($AD$3:AD16))</f>
        <v>#NUM!</v>
      </c>
      <c r="AF16" s="24" t="str">
        <f t="shared" si="4"/>
        <v/>
      </c>
    </row>
    <row r="17" spans="1:32" x14ac:dyDescent="0.35">
      <c r="A17" s="27" t="str">
        <f t="shared" ref="A17:A22" si="8">AF4</f>
        <v>Alte datorii financiare curente</v>
      </c>
      <c r="B17" s="29">
        <f>SUMIF('1.Pozitia Financiara'!$A:$A,$A17,'1.Pozitia Financiara'!B:B)</f>
        <v>41813458.390000001</v>
      </c>
      <c r="C17" s="29">
        <f>SUMIF('1.Pozitia Financiara'!$A:$A,$A17,'1.Pozitia Financiara'!C:C)</f>
        <v>42806170.880000003</v>
      </c>
      <c r="D17" s="29">
        <f>SUMIF('1.Pozitia Financiara'!$A:$A,$A17,'1.Pozitia Financiara'!D:D)</f>
        <v>46071939.200000003</v>
      </c>
      <c r="E17" s="29">
        <f>SUMIF('1.Pozitia Financiara'!$A:$A,$A17,'1.Pozitia Financiara'!E:E)</f>
        <v>37277228.120000005</v>
      </c>
      <c r="F17" s="29">
        <f>SUMIF('1.Pozitia Financiara'!$A:$A,$A17,'1.Pozitia Financiara'!F:F)</f>
        <v>46860194</v>
      </c>
      <c r="G17" s="29">
        <f>SUMIF('1.Pozitia Financiara'!$A:$A,$A17,'1.Pozitia Financiara'!G:G)</f>
        <v>45859691.509999998</v>
      </c>
      <c r="H17" s="29">
        <f>SUMIF('1.Pozitia Financiara'!$A:$A,$A17,'1.Pozitia Financiara'!H:H)</f>
        <v>38178595</v>
      </c>
      <c r="I17" s="29">
        <f t="shared" ref="I17:I22" si="9">SUMPRODUCT($B$14:$H$14,B17:H17)</f>
        <v>38178595</v>
      </c>
      <c r="J17" s="51">
        <f>RANK(I17,$I$16:$I$22,0)+COUNTIF($I17:I$22,I17)-1</f>
        <v>1</v>
      </c>
      <c r="L17" s="32">
        <v>2</v>
      </c>
      <c r="N17" s="12" t="str">
        <f t="shared" ref="N17:N22" si="10">INDEX($A$16:$A$22,MATCH(L17,$J$16:$J$22,0))</f>
        <v xml:space="preserve">Datorii comerciale </v>
      </c>
      <c r="O17" s="12"/>
      <c r="P17" s="12"/>
      <c r="Q17" s="54">
        <f t="shared" ref="Q17:Q22" si="11">SUMIF($A$16:$A$22,N17,$I$16:$I$22)</f>
        <v>24772724</v>
      </c>
      <c r="R17" s="55">
        <f t="shared" ref="R17:R22" si="12">Q17/$Q$23</f>
        <v>0.35861477178684648</v>
      </c>
      <c r="AA17" s="24">
        <f t="shared" si="5"/>
        <v>15</v>
      </c>
      <c r="AB17" s="35" t="s">
        <v>82</v>
      </c>
      <c r="AC17" s="40" t="s">
        <v>10</v>
      </c>
      <c r="AD17" s="24" t="str">
        <f>IF(AB17=Grafice!$F$20,HiddenPage!AA17,"")</f>
        <v/>
      </c>
      <c r="AE17" s="24" t="e">
        <f>SMALL($AD$3:$AD$26,ROWS($AD$3:AD17))</f>
        <v>#NUM!</v>
      </c>
      <c r="AF17" s="24" t="str">
        <f t="shared" si="4"/>
        <v/>
      </c>
    </row>
    <row r="18" spans="1:32" x14ac:dyDescent="0.35">
      <c r="A18" s="27" t="str">
        <f t="shared" si="8"/>
        <v>Alte datorii nefinanciare curente</v>
      </c>
      <c r="B18" s="29">
        <f>SUMIF('1.Pozitia Financiara'!$A:$A,$A18,'1.Pozitia Financiara'!B:B)</f>
        <v>4839108.0600000005</v>
      </c>
      <c r="C18" s="29">
        <f>SUMIF('1.Pozitia Financiara'!$A:$A,$A18,'1.Pozitia Financiara'!C:C)</f>
        <v>4695552.46</v>
      </c>
      <c r="D18" s="29">
        <f>SUMIF('1.Pozitia Financiara'!$A:$A,$A18,'1.Pozitia Financiara'!D:D)</f>
        <v>5212627.8099999996</v>
      </c>
      <c r="E18" s="29">
        <f>SUMIF('1.Pozitia Financiara'!$A:$A,$A18,'1.Pozitia Financiara'!E:E)</f>
        <v>4377559.0299999993</v>
      </c>
      <c r="F18" s="29">
        <f>SUMIF('1.Pozitia Financiara'!$A:$A,$A18,'1.Pozitia Financiara'!F:F)</f>
        <v>4805793</v>
      </c>
      <c r="G18" s="29">
        <f>SUMIF('1.Pozitia Financiara'!$A:$A,$A18,'1.Pozitia Financiara'!G:G)</f>
        <v>5623257.5099999998</v>
      </c>
      <c r="H18" s="29">
        <f>SUMIF('1.Pozitia Financiara'!$A:$A,$A18,'1.Pozitia Financiara'!H:H)</f>
        <v>6127609</v>
      </c>
      <c r="I18" s="29">
        <f t="shared" si="9"/>
        <v>6127609</v>
      </c>
      <c r="J18" s="51">
        <f>RANK(I18,$I$16:$I$22,0)+COUNTIF($I18:I$22,I18)-1</f>
        <v>3</v>
      </c>
      <c r="L18" s="32">
        <v>3</v>
      </c>
      <c r="N18" s="12" t="str">
        <f t="shared" si="10"/>
        <v>Alte datorii nefinanciare curente</v>
      </c>
      <c r="O18" s="12"/>
      <c r="P18" s="12"/>
      <c r="Q18" s="54">
        <f t="shared" si="11"/>
        <v>6127609</v>
      </c>
      <c r="R18" s="55">
        <f t="shared" si="12"/>
        <v>8.8704459918659995E-2</v>
      </c>
      <c r="AA18" s="24">
        <f t="shared" si="5"/>
        <v>16</v>
      </c>
      <c r="AB18" s="35" t="s">
        <v>86</v>
      </c>
      <c r="AC18" s="24" t="s">
        <v>150</v>
      </c>
      <c r="AD18" s="24" t="str">
        <f>IF(AB18=Grafice!$F$20,HiddenPage!AA18,"")</f>
        <v/>
      </c>
      <c r="AE18" s="24" t="e">
        <f>SMALL($AD$3:$AD$26,ROWS($AD$3:AD18))</f>
        <v>#NUM!</v>
      </c>
      <c r="AF18" s="24" t="str">
        <f t="shared" si="4"/>
        <v/>
      </c>
    </row>
    <row r="19" spans="1:32" x14ac:dyDescent="0.35">
      <c r="A19" s="27" t="str">
        <f t="shared" si="8"/>
        <v/>
      </c>
      <c r="B19" s="29">
        <f>SUMIF('1.Pozitia Financiara'!$A:$A,$A19,'1.Pozitia Financiara'!B:B)</f>
        <v>0</v>
      </c>
      <c r="C19" s="29">
        <f>SUMIF('1.Pozitia Financiara'!$A:$A,$A19,'1.Pozitia Financiara'!C:C)</f>
        <v>0</v>
      </c>
      <c r="D19" s="29">
        <f>SUMIF('1.Pozitia Financiara'!$A:$A,$A19,'1.Pozitia Financiara'!D:D)</f>
        <v>0</v>
      </c>
      <c r="E19" s="29">
        <f>SUMIF('1.Pozitia Financiara'!$A:$A,$A19,'1.Pozitia Financiara'!E:E)</f>
        <v>0</v>
      </c>
      <c r="F19" s="29">
        <f>SUMIF('1.Pozitia Financiara'!$A:$A,$A19,'1.Pozitia Financiara'!F:F)</f>
        <v>0</v>
      </c>
      <c r="G19" s="29">
        <f>SUMIF('1.Pozitia Financiara'!$A:$A,$A19,'1.Pozitia Financiara'!G:G)</f>
        <v>0</v>
      </c>
      <c r="H19" s="29">
        <f>SUMIF('1.Pozitia Financiara'!$A:$A,$A19,'1.Pozitia Financiara'!H:H)</f>
        <v>0</v>
      </c>
      <c r="I19" s="29">
        <f>SUMPRODUCT($B$14:$H$14,B19:H19)</f>
        <v>0</v>
      </c>
      <c r="J19" s="51">
        <f>RANK(I19,$I$16:$I$22,0)+COUNTIF($I19:I$22,I19)-1</f>
        <v>7</v>
      </c>
      <c r="L19" s="32">
        <v>4</v>
      </c>
      <c r="N19" s="12" t="str">
        <f t="shared" si="10"/>
        <v/>
      </c>
      <c r="O19" s="12"/>
      <c r="P19" s="12"/>
      <c r="Q19" s="54">
        <f>SUMIF($A$16:$A$22,N19,$I$16:$I$22)</f>
        <v>0</v>
      </c>
      <c r="R19" s="55">
        <f t="shared" si="12"/>
        <v>0</v>
      </c>
      <c r="AA19" s="24">
        <f t="shared" si="5"/>
        <v>17</v>
      </c>
      <c r="AB19" s="35" t="s">
        <v>86</v>
      </c>
      <c r="AC19" s="24" t="s">
        <v>151</v>
      </c>
      <c r="AD19" s="24" t="str">
        <f>IF(AB19=Grafice!$F$20,HiddenPage!AA19,"")</f>
        <v/>
      </c>
      <c r="AE19" s="24" t="e">
        <f>SMALL($AD$3:$AD$26,ROWS($AD$3:AD19))</f>
        <v>#NUM!</v>
      </c>
      <c r="AF19" s="24" t="str">
        <f t="shared" si="4"/>
        <v/>
      </c>
    </row>
    <row r="20" spans="1:32" x14ac:dyDescent="0.35">
      <c r="A20" s="27" t="str">
        <f t="shared" si="8"/>
        <v/>
      </c>
      <c r="B20" s="29">
        <f>SUMIF('1.Pozitia Financiara'!$A:$A,$A20,'1.Pozitia Financiara'!B:B)</f>
        <v>0</v>
      </c>
      <c r="C20" s="29">
        <f>SUMIF('1.Pozitia Financiara'!$A:$A,$A20,'1.Pozitia Financiara'!C:C)</f>
        <v>0</v>
      </c>
      <c r="D20" s="29">
        <f>SUMIF('1.Pozitia Financiara'!$A:$A,$A20,'1.Pozitia Financiara'!D:D)</f>
        <v>0</v>
      </c>
      <c r="E20" s="29">
        <f>SUMIF('1.Pozitia Financiara'!$A:$A,$A20,'1.Pozitia Financiara'!E:E)</f>
        <v>0</v>
      </c>
      <c r="F20" s="29">
        <f>SUMIF('1.Pozitia Financiara'!$A:$A,$A20,'1.Pozitia Financiara'!F:F)</f>
        <v>0</v>
      </c>
      <c r="G20" s="29">
        <f>SUMIF('1.Pozitia Financiara'!$A:$A,$A20,'1.Pozitia Financiara'!G:G)</f>
        <v>0</v>
      </c>
      <c r="H20" s="29">
        <f>SUMIF('1.Pozitia Financiara'!$A:$A,$A20,'1.Pozitia Financiara'!H:H)</f>
        <v>0</v>
      </c>
      <c r="I20" s="29">
        <f t="shared" si="9"/>
        <v>0</v>
      </c>
      <c r="J20" s="51">
        <f>RANK(I20,$I$16:$I$22,0)+COUNTIF($I20:I$22,I20)-1</f>
        <v>6</v>
      </c>
      <c r="L20" s="32">
        <v>5</v>
      </c>
      <c r="N20" s="12" t="str">
        <f t="shared" si="10"/>
        <v/>
      </c>
      <c r="O20" s="12"/>
      <c r="P20" s="12"/>
      <c r="Q20" s="54">
        <f t="shared" si="11"/>
        <v>0</v>
      </c>
      <c r="R20" s="55">
        <f t="shared" si="12"/>
        <v>0</v>
      </c>
      <c r="AA20" s="24">
        <f t="shared" si="5"/>
        <v>18</v>
      </c>
      <c r="AB20" s="35" t="s">
        <v>86</v>
      </c>
      <c r="AC20" s="24" t="s">
        <v>152</v>
      </c>
      <c r="AD20" s="24" t="str">
        <f>IF(AB20=Grafice!$F$20,HiddenPage!AA20,"")</f>
        <v/>
      </c>
      <c r="AE20" s="24" t="e">
        <f>SMALL($AD$3:$AD$26,ROWS($AD$3:AD20))</f>
        <v>#NUM!</v>
      </c>
      <c r="AF20" s="24" t="str">
        <f t="shared" si="4"/>
        <v/>
      </c>
    </row>
    <row r="21" spans="1:32" x14ac:dyDescent="0.35">
      <c r="A21" s="27" t="str">
        <f t="shared" si="8"/>
        <v/>
      </c>
      <c r="B21" s="29">
        <f>SUMIF('1.Pozitia Financiara'!$A:$A,$A21,'1.Pozitia Financiara'!B:B)</f>
        <v>0</v>
      </c>
      <c r="C21" s="29">
        <f>SUMIF('1.Pozitia Financiara'!$A:$A,$A21,'1.Pozitia Financiara'!C:C)</f>
        <v>0</v>
      </c>
      <c r="D21" s="29">
        <f>SUMIF('1.Pozitia Financiara'!$A:$A,$A21,'1.Pozitia Financiara'!D:D)</f>
        <v>0</v>
      </c>
      <c r="E21" s="29">
        <f>SUMIF('1.Pozitia Financiara'!$A:$A,$A21,'1.Pozitia Financiara'!E:E)</f>
        <v>0</v>
      </c>
      <c r="F21" s="29">
        <f>SUMIF('1.Pozitia Financiara'!$A:$A,$A21,'1.Pozitia Financiara'!F:F)</f>
        <v>0</v>
      </c>
      <c r="G21" s="29">
        <f>SUMIF('1.Pozitia Financiara'!$A:$A,$A21,'1.Pozitia Financiara'!G:G)</f>
        <v>0</v>
      </c>
      <c r="H21" s="29">
        <f>SUMIF('1.Pozitia Financiara'!$A:$A,$A21,'1.Pozitia Financiara'!H:H)</f>
        <v>0</v>
      </c>
      <c r="I21" s="29">
        <f t="shared" si="9"/>
        <v>0</v>
      </c>
      <c r="J21" s="51">
        <f>RANK(I21,$I$16:$I$22,0)+COUNTIF($I21:I$22,I21)-1</f>
        <v>5</v>
      </c>
      <c r="L21" s="32">
        <v>6</v>
      </c>
      <c r="N21" s="12" t="str">
        <f t="shared" si="10"/>
        <v/>
      </c>
      <c r="O21" s="12"/>
      <c r="P21" s="12"/>
      <c r="Q21" s="54">
        <f t="shared" si="11"/>
        <v>0</v>
      </c>
      <c r="R21" s="55">
        <f t="shared" si="12"/>
        <v>0</v>
      </c>
      <c r="AA21" s="24">
        <f t="shared" si="5"/>
        <v>19</v>
      </c>
      <c r="AB21" s="35" t="s">
        <v>86</v>
      </c>
      <c r="AC21" s="40" t="s">
        <v>153</v>
      </c>
      <c r="AD21" s="24" t="str">
        <f>IF(AB21=Grafice!$F$20,HiddenPage!AA21,"")</f>
        <v/>
      </c>
      <c r="AE21" s="24" t="e">
        <f>SMALL($AD$3:$AD$26,ROWS($AD$3:AD21))</f>
        <v>#NUM!</v>
      </c>
      <c r="AF21" s="24" t="str">
        <f t="shared" si="4"/>
        <v/>
      </c>
    </row>
    <row r="22" spans="1:32" x14ac:dyDescent="0.35">
      <c r="A22" s="27" t="str">
        <f t="shared" si="8"/>
        <v/>
      </c>
      <c r="B22" s="29">
        <f>SUMIF('1.Pozitia Financiara'!$A:$A,$A22,'1.Pozitia Financiara'!B:B)</f>
        <v>0</v>
      </c>
      <c r="C22" s="29">
        <f>SUMIF('1.Pozitia Financiara'!$A:$A,$A22,'1.Pozitia Financiara'!C:C)</f>
        <v>0</v>
      </c>
      <c r="D22" s="29">
        <f>SUMIF('1.Pozitia Financiara'!$A:$A,$A22,'1.Pozitia Financiara'!D:D)</f>
        <v>0</v>
      </c>
      <c r="E22" s="29">
        <f>SUMIF('1.Pozitia Financiara'!$A:$A,$A22,'1.Pozitia Financiara'!E:E)</f>
        <v>0</v>
      </c>
      <c r="F22" s="29">
        <f>SUMIF('1.Pozitia Financiara'!$A:$A,$A22,'1.Pozitia Financiara'!F:F)</f>
        <v>0</v>
      </c>
      <c r="G22" s="29">
        <f>SUMIF('1.Pozitia Financiara'!$A:$A,$A22,'1.Pozitia Financiara'!G:G)</f>
        <v>0</v>
      </c>
      <c r="H22" s="29">
        <f>SUMIF('1.Pozitia Financiara'!$A:$A,$A22,'1.Pozitia Financiara'!H:H)</f>
        <v>0</v>
      </c>
      <c r="I22" s="29">
        <f t="shared" si="9"/>
        <v>0</v>
      </c>
      <c r="J22" s="51">
        <f>RANK(I22,$I$16:$I$22,0)+COUNTIF($I22:I$22,I22)-1</f>
        <v>4</v>
      </c>
      <c r="L22" s="32">
        <v>7</v>
      </c>
      <c r="N22" s="12" t="str">
        <f t="shared" si="10"/>
        <v/>
      </c>
      <c r="O22" s="12"/>
      <c r="P22" s="12"/>
      <c r="Q22" s="54">
        <f t="shared" si="11"/>
        <v>0</v>
      </c>
      <c r="R22" s="55">
        <f t="shared" si="12"/>
        <v>0</v>
      </c>
      <c r="AA22" s="24">
        <f t="shared" si="5"/>
        <v>20</v>
      </c>
      <c r="AB22" s="35" t="s">
        <v>87</v>
      </c>
      <c r="AC22" s="24" t="s">
        <v>154</v>
      </c>
      <c r="AD22" s="24">
        <f>IF(AB22=Grafice!$F$20,HiddenPage!AA22,"")</f>
        <v>20</v>
      </c>
      <c r="AE22" s="24" t="e">
        <f>SMALL($AD$3:$AD$26,ROWS($AD$3:AD22))</f>
        <v>#NUM!</v>
      </c>
      <c r="AF22" s="24" t="str">
        <f t="shared" si="4"/>
        <v/>
      </c>
    </row>
    <row r="23" spans="1:32" x14ac:dyDescent="0.35">
      <c r="A23" s="24" t="str">
        <f>Grafice!T20</f>
        <v>Datorii curente</v>
      </c>
      <c r="D23" s="24" t="str">
        <f>"Evolutia indicatorului "&amp;A23&amp;" in perioada 2017-2023"</f>
        <v>Evolutia indicatorului Datorii curente in perioada 2017-2023</v>
      </c>
      <c r="N23" s="12" t="str">
        <f>"Total  : "&amp;TEXT(Q23,"#,##0;[Red]-#,##0")&amp;" lei"</f>
        <v>Total  : 69078928,0 lei</v>
      </c>
      <c r="O23" s="12"/>
      <c r="P23" s="12"/>
      <c r="Q23" s="56">
        <f>SUM(Q16:Q22)</f>
        <v>69078928</v>
      </c>
      <c r="R23" s="12"/>
      <c r="AA23" s="24">
        <f t="shared" si="5"/>
        <v>21</v>
      </c>
      <c r="AB23" s="35" t="s">
        <v>87</v>
      </c>
      <c r="AC23" s="24" t="s">
        <v>155</v>
      </c>
      <c r="AD23" s="24">
        <f>IF(AB23=Grafice!$F$20,HiddenPage!AA23,"")</f>
        <v>21</v>
      </c>
      <c r="AE23" s="24" t="e">
        <f>SMALL($AD$3:$AD$26,ROWS($AD$3:AD23))</f>
        <v>#NUM!</v>
      </c>
    </row>
    <row r="24" spans="1:32" x14ac:dyDescent="0.35">
      <c r="A24" s="24">
        <v>2016</v>
      </c>
      <c r="B24" s="29">
        <f>SUMIF('1.Pozitia Financiara'!$A:$A,HiddenPage!$A$23,'1.Pozitia Financiara'!B:B)</f>
        <v>75224009.519999996</v>
      </c>
      <c r="C24" s="28"/>
      <c r="D24" s="30"/>
      <c r="E24" s="28"/>
      <c r="F24" s="28"/>
      <c r="G24" s="28"/>
      <c r="AA24" s="24">
        <f t="shared" si="5"/>
        <v>22</v>
      </c>
      <c r="AB24" s="35" t="s">
        <v>87</v>
      </c>
      <c r="AC24" s="40" t="s">
        <v>156</v>
      </c>
      <c r="AD24" s="24">
        <f>IF(AB24=Grafice!$F$20,HiddenPage!AA24,"")</f>
        <v>22</v>
      </c>
      <c r="AE24" s="24" t="e">
        <f>SMALL($AD$3:$AD$26,ROWS($AD$3:AD24))</f>
        <v>#NUM!</v>
      </c>
    </row>
    <row r="25" spans="1:32" x14ac:dyDescent="0.35">
      <c r="A25" s="24">
        <f>A24+1</f>
        <v>2017</v>
      </c>
      <c r="B25" s="29">
        <f>SUMIF('1.Pozitia Financiara'!$A:$A,HiddenPage!$A$23,'1.Pozitia Financiara'!C:C)</f>
        <v>72038788.700000003</v>
      </c>
      <c r="C25" s="29"/>
      <c r="D25" s="30"/>
      <c r="E25" s="29"/>
      <c r="F25" s="29"/>
      <c r="G25" s="29"/>
      <c r="AA25" s="24">
        <f t="shared" si="5"/>
        <v>23</v>
      </c>
      <c r="AB25" s="35"/>
      <c r="AD25" s="24" t="str">
        <f>IF(AB25=Grafice!$F$20,HiddenPage!AA25,"")</f>
        <v/>
      </c>
      <c r="AE25" s="24" t="e">
        <f>SMALL($AD$3:$AD$26,ROWS($AD$3:AD25))</f>
        <v>#NUM!</v>
      </c>
    </row>
    <row r="26" spans="1:32" x14ac:dyDescent="0.35">
      <c r="A26" s="24">
        <f t="shared" ref="A26:A30" si="13">A25+1</f>
        <v>2018</v>
      </c>
      <c r="B26" s="36">
        <f>SUMIF('1.Pozitia Financiara'!$A:$A,HiddenPage!$A$23,'1.Pozitia Financiara'!D:D)</f>
        <v>74927615.74000001</v>
      </c>
      <c r="C26" s="29"/>
      <c r="D26" s="30"/>
      <c r="E26" s="29"/>
      <c r="F26" s="29"/>
      <c r="G26" s="29"/>
      <c r="AA26" s="24">
        <f t="shared" si="5"/>
        <v>24</v>
      </c>
      <c r="AB26" s="35"/>
      <c r="AC26" s="40"/>
      <c r="AD26" s="24" t="str">
        <f>IF(AB26=Grafice!$F$20,HiddenPage!AA26,"")</f>
        <v/>
      </c>
      <c r="AE26" s="24" t="e">
        <f>SMALL($AD$3:$AD$26,ROWS($AD$3:AD26))</f>
        <v>#NUM!</v>
      </c>
    </row>
    <row r="27" spans="1:32" x14ac:dyDescent="0.35">
      <c r="A27" s="24">
        <f t="shared" si="13"/>
        <v>2019</v>
      </c>
      <c r="B27" s="29">
        <f>SUMIF('1.Pozitia Financiara'!$A:$A,HiddenPage!$A$23,'1.Pozitia Financiara'!E:E)</f>
        <v>67784319.150000006</v>
      </c>
      <c r="C27" s="29"/>
      <c r="D27" s="30"/>
      <c r="E27" s="29"/>
      <c r="F27" s="29"/>
      <c r="G27" s="29"/>
      <c r="AA27" s="24">
        <f t="shared" si="5"/>
        <v>25</v>
      </c>
      <c r="AB27" s="35"/>
    </row>
    <row r="28" spans="1:32" x14ac:dyDescent="0.35">
      <c r="A28" s="24">
        <f t="shared" si="13"/>
        <v>2020</v>
      </c>
      <c r="B28" s="29">
        <f>SUMIF('1.Pozitia Financiara'!$A:$A,HiddenPage!$A$23,'1.Pozitia Financiara'!F:F)</f>
        <v>88827897</v>
      </c>
      <c r="C28" s="29"/>
      <c r="D28" s="30"/>
      <c r="E28" s="29"/>
      <c r="F28" s="29"/>
      <c r="G28" s="29"/>
    </row>
    <row r="29" spans="1:32" x14ac:dyDescent="0.35">
      <c r="A29" s="24">
        <f t="shared" si="13"/>
        <v>2021</v>
      </c>
      <c r="B29" s="29">
        <f>SUMIF('1.Pozitia Financiara'!$A:$A,HiddenPage!$A$23,'1.Pozitia Financiara'!G:G)</f>
        <v>99543849.019999996</v>
      </c>
      <c r="C29" s="29"/>
      <c r="D29" s="30"/>
      <c r="E29" s="29"/>
      <c r="F29" s="29"/>
      <c r="G29" s="29"/>
    </row>
    <row r="30" spans="1:32" x14ac:dyDescent="0.35">
      <c r="A30" s="24">
        <f t="shared" si="13"/>
        <v>2022</v>
      </c>
      <c r="B30" s="29">
        <f>SUMIF('1.Pozitia Financiara'!$A:$A,HiddenPage!$A$23,'1.Pozitia Financiara'!H:H)</f>
        <v>69078928</v>
      </c>
    </row>
    <row r="31" spans="1:32" x14ac:dyDescent="0.35">
      <c r="B31" s="29"/>
    </row>
    <row r="32" spans="1:32" x14ac:dyDescent="0.35">
      <c r="B32" s="33" t="s">
        <v>73</v>
      </c>
      <c r="C32" s="33" t="s">
        <v>74</v>
      </c>
      <c r="D32" s="33" t="s">
        <v>75</v>
      </c>
      <c r="E32" s="33" t="s">
        <v>76</v>
      </c>
      <c r="F32" s="33" t="s">
        <v>72</v>
      </c>
      <c r="G32" s="33" t="s">
        <v>77</v>
      </c>
    </row>
    <row r="33" spans="1:8" x14ac:dyDescent="0.35">
      <c r="A33" s="39"/>
      <c r="B33" s="38"/>
      <c r="D33" s="31"/>
      <c r="E33" s="31"/>
      <c r="F33" s="34">
        <f>B24</f>
        <v>75224009.519999996</v>
      </c>
      <c r="G33" s="34">
        <f>F33</f>
        <v>75224009.519999996</v>
      </c>
    </row>
    <row r="34" spans="1:8" x14ac:dyDescent="0.35">
      <c r="A34" s="39">
        <v>2017</v>
      </c>
      <c r="B34" s="38">
        <f>SUM(B33,E33:F33)-D34</f>
        <v>72038788.700000003</v>
      </c>
      <c r="D34" s="31">
        <f t="shared" ref="D34:D35" si="14">IF(G34&lt;0,-G34,0)</f>
        <v>3185220.8199999928</v>
      </c>
      <c r="E34" s="31">
        <f t="shared" ref="E34:E35" si="15">IF(G34&gt;0,G34,0)</f>
        <v>0</v>
      </c>
      <c r="F34" s="34"/>
      <c r="G34" s="34">
        <f>B25-B24</f>
        <v>-3185220.8199999928</v>
      </c>
    </row>
    <row r="35" spans="1:8" x14ac:dyDescent="0.35">
      <c r="A35" s="39">
        <f>A34+1</f>
        <v>2018</v>
      </c>
      <c r="B35" s="38">
        <f t="shared" ref="B35:B39" si="16">SUM(B34,E34:F34)-D35</f>
        <v>72038788.700000003</v>
      </c>
      <c r="D35" s="31">
        <f t="shared" si="14"/>
        <v>0</v>
      </c>
      <c r="E35" s="31">
        <f t="shared" si="15"/>
        <v>2888827.0400000066</v>
      </c>
      <c r="F35" s="34"/>
      <c r="G35" s="34">
        <f t="shared" ref="G35:G39" si="17">B26-B25</f>
        <v>2888827.0400000066</v>
      </c>
    </row>
    <row r="36" spans="1:8" x14ac:dyDescent="0.35">
      <c r="A36" s="39">
        <f t="shared" ref="A36:A39" si="18">A35+1</f>
        <v>2019</v>
      </c>
      <c r="B36" s="38">
        <f t="shared" si="16"/>
        <v>67784319.150000006</v>
      </c>
      <c r="C36" s="31"/>
      <c r="D36" s="31">
        <f>IF(G36&lt;0,-G36,0)</f>
        <v>7143296.5900000036</v>
      </c>
      <c r="E36" s="31">
        <f>IF(G36&gt;0,G36,0)</f>
        <v>0</v>
      </c>
      <c r="G36" s="34">
        <f t="shared" si="17"/>
        <v>-7143296.5900000036</v>
      </c>
    </row>
    <row r="37" spans="1:8" x14ac:dyDescent="0.35">
      <c r="A37" s="39">
        <f t="shared" si="18"/>
        <v>2020</v>
      </c>
      <c r="B37" s="38">
        <f t="shared" si="16"/>
        <v>67784319.150000006</v>
      </c>
      <c r="C37" s="31"/>
      <c r="D37" s="31">
        <f>IF(G37&lt;0,-G37,0)</f>
        <v>0</v>
      </c>
      <c r="E37" s="31">
        <f>IF(G37&gt;0,G37,0)</f>
        <v>21043577.849999994</v>
      </c>
      <c r="G37" s="34">
        <f t="shared" si="17"/>
        <v>21043577.849999994</v>
      </c>
    </row>
    <row r="38" spans="1:8" x14ac:dyDescent="0.35">
      <c r="A38" s="39">
        <f t="shared" si="18"/>
        <v>2021</v>
      </c>
      <c r="B38" s="38">
        <f t="shared" si="16"/>
        <v>88827897</v>
      </c>
      <c r="C38" s="31"/>
      <c r="D38" s="31">
        <f>IF(G38&lt;0,-G38,0)</f>
        <v>0</v>
      </c>
      <c r="E38" s="31">
        <f>IF(G38&gt;0,G38,0)</f>
        <v>10715952.019999996</v>
      </c>
      <c r="G38" s="34">
        <f t="shared" si="17"/>
        <v>10715952.019999996</v>
      </c>
    </row>
    <row r="39" spans="1:8" x14ac:dyDescent="0.35">
      <c r="A39" s="39">
        <f t="shared" si="18"/>
        <v>2022</v>
      </c>
      <c r="B39" s="38">
        <f t="shared" si="16"/>
        <v>69078928</v>
      </c>
      <c r="C39" s="31"/>
      <c r="D39" s="31">
        <f>IF(G39&lt;0,-G39,0)</f>
        <v>30464921.019999996</v>
      </c>
      <c r="E39" s="31">
        <f>IF(G39&gt;0,G39,0)</f>
        <v>0</v>
      </c>
      <c r="G39" s="34">
        <f t="shared" si="17"/>
        <v>-30464921.019999996</v>
      </c>
    </row>
    <row r="40" spans="1:8" x14ac:dyDescent="0.35">
      <c r="A40" s="37"/>
      <c r="B40" s="31"/>
      <c r="C40" s="38">
        <f>SUM(B39,E39:F39)-D40</f>
        <v>69078928</v>
      </c>
      <c r="D40" s="31"/>
      <c r="E40" s="31"/>
      <c r="G40" s="34"/>
    </row>
    <row r="44" spans="1:8" x14ac:dyDescent="0.35">
      <c r="B44" s="28">
        <f>B3</f>
        <v>2017</v>
      </c>
      <c r="C44" s="28">
        <f t="shared" ref="C44:H44" si="19">C3</f>
        <v>2018</v>
      </c>
      <c r="D44" s="28">
        <f t="shared" si="19"/>
        <v>2019</v>
      </c>
      <c r="E44" s="28">
        <f t="shared" si="19"/>
        <v>2020</v>
      </c>
      <c r="F44" s="28">
        <f t="shared" si="19"/>
        <v>2021</v>
      </c>
      <c r="G44" s="28">
        <f t="shared" si="19"/>
        <v>2022</v>
      </c>
      <c r="H44" s="28">
        <f t="shared" si="19"/>
        <v>2023</v>
      </c>
    </row>
    <row r="45" spans="1:8" x14ac:dyDescent="0.35">
      <c r="A45" s="27" t="str">
        <f>U3</f>
        <v>Active pe termen lung</v>
      </c>
      <c r="B45" s="29">
        <f>SUMIF('1.Pozitia Financiara'!$A:$A,$A45,'1.Pozitia Financiara'!B:B)</f>
        <v>210024646.26000002</v>
      </c>
      <c r="C45" s="29">
        <f>SUMIF('1.Pozitia Financiara'!$A:$A,$A45,'1.Pozitia Financiara'!C:C)</f>
        <v>170408687.35000002</v>
      </c>
      <c r="D45" s="29">
        <f>SUMIF('1.Pozitia Financiara'!$A:$A,$A45,'1.Pozitia Financiara'!D:D)</f>
        <v>163480244.93000001</v>
      </c>
      <c r="E45" s="29">
        <f>SUMIF('1.Pozitia Financiara'!$A:$A,$A45,'1.Pozitia Financiara'!E:E)</f>
        <v>152917930.06</v>
      </c>
      <c r="F45" s="29">
        <f>SUMIF('1.Pozitia Financiara'!$A:$A,$A45,'1.Pozitia Financiara'!F:F)</f>
        <v>138364502</v>
      </c>
      <c r="G45" s="29">
        <f>SUMIF('1.Pozitia Financiara'!$A:$A,$A45,'1.Pozitia Financiara'!G:G)</f>
        <v>133313884</v>
      </c>
      <c r="H45" s="29">
        <f>SUMIF('1.Pozitia Financiara'!$A:$A,$A45,'1.Pozitia Financiara'!H:H)</f>
        <v>118936705</v>
      </c>
    </row>
    <row r="46" spans="1:8" x14ac:dyDescent="0.35">
      <c r="A46" s="27" t="str">
        <f>U4</f>
        <v>Active curente</v>
      </c>
      <c r="B46" s="29">
        <f>SUMIF('1.Pozitia Financiara'!$A:$A,$A46,'1.Pozitia Financiara'!B:B)</f>
        <v>59667442.590000004</v>
      </c>
      <c r="C46" s="29">
        <f>SUMIF('1.Pozitia Financiara'!$A:$A,$A46,'1.Pozitia Financiara'!C:C)</f>
        <v>82932100.889999986</v>
      </c>
      <c r="D46" s="29">
        <f>SUMIF('1.Pozitia Financiara'!$A:$A,$A46,'1.Pozitia Financiara'!D:D)</f>
        <v>82714659.589999989</v>
      </c>
      <c r="E46" s="29">
        <f>SUMIF('1.Pozitia Financiara'!$A:$A,$A46,'1.Pozitia Financiara'!E:E)</f>
        <v>78436250.86999999</v>
      </c>
      <c r="F46" s="29">
        <f>SUMIF('1.Pozitia Financiara'!$A:$A,$A46,'1.Pozitia Financiara'!F:F)</f>
        <v>105658368</v>
      </c>
      <c r="G46" s="29">
        <f>SUMIF('1.Pozitia Financiara'!$A:$A,$A46,'1.Pozitia Financiara'!G:G)</f>
        <v>146753533</v>
      </c>
      <c r="H46" s="29">
        <f>SUMIF('1.Pozitia Financiara'!$A:$A,$A46,'1.Pozitia Financiara'!H:H)</f>
        <v>122197548</v>
      </c>
    </row>
    <row r="47" spans="1:8" x14ac:dyDescent="0.35">
      <c r="B47" s="34">
        <f>B45+B46</f>
        <v>269692088.85000002</v>
      </c>
      <c r="C47" s="34">
        <f t="shared" ref="C47:H47" si="20">C45+C46</f>
        <v>253340788.24000001</v>
      </c>
      <c r="D47" s="34">
        <f t="shared" si="20"/>
        <v>246194904.51999998</v>
      </c>
      <c r="E47" s="34">
        <f t="shared" si="20"/>
        <v>231354180.93000001</v>
      </c>
      <c r="F47" s="34">
        <f t="shared" si="20"/>
        <v>244022870</v>
      </c>
      <c r="G47" s="34">
        <f t="shared" si="20"/>
        <v>280067417</v>
      </c>
      <c r="H47" s="34">
        <f t="shared" si="20"/>
        <v>241134253</v>
      </c>
    </row>
    <row r="51" spans="1:24" s="40" customFormat="1" x14ac:dyDescent="0.35">
      <c r="B51" s="40">
        <f>IF('2.Sit. Rezultatului global'!$W$23=B52,1,0)</f>
        <v>0</v>
      </c>
      <c r="C51" s="40">
        <f>IF('2.Sit. Rezultatului global'!$W$23=C52,1,0)</f>
        <v>0</v>
      </c>
      <c r="D51" s="40">
        <f>IF('2.Sit. Rezultatului global'!$W$23=D52,1,0)</f>
        <v>0</v>
      </c>
      <c r="E51" s="40">
        <f>IF('2.Sit. Rezultatului global'!$W$23=E52,1,0)</f>
        <v>0</v>
      </c>
      <c r="F51" s="40">
        <f>IF('2.Sit. Rezultatului global'!$W$23=F52,1,0)</f>
        <v>0</v>
      </c>
      <c r="G51" s="40">
        <f>IF('2.Sit. Rezultatului global'!$W$23=G52,1,0)</f>
        <v>0</v>
      </c>
      <c r="H51" s="40">
        <f>IF('2.Sit. Rezultatului global'!$W$23=H52,1,0)</f>
        <v>0</v>
      </c>
      <c r="L51" s="32"/>
      <c r="N51" s="32"/>
      <c r="X51" s="32"/>
    </row>
    <row r="52" spans="1:24" s="40" customFormat="1" x14ac:dyDescent="0.35">
      <c r="A52" s="40" t="s">
        <v>109</v>
      </c>
      <c r="B52" s="50">
        <f>B3</f>
        <v>2017</v>
      </c>
      <c r="C52" s="50">
        <f t="shared" ref="C52:H52" si="21">C3</f>
        <v>2018</v>
      </c>
      <c r="D52" s="50">
        <f t="shared" si="21"/>
        <v>2019</v>
      </c>
      <c r="E52" s="50">
        <f t="shared" si="21"/>
        <v>2020</v>
      </c>
      <c r="F52" s="50">
        <f t="shared" si="21"/>
        <v>2021</v>
      </c>
      <c r="G52" s="50">
        <f t="shared" si="21"/>
        <v>2022</v>
      </c>
      <c r="H52" s="50">
        <f t="shared" si="21"/>
        <v>2023</v>
      </c>
      <c r="I52" s="40" t="s">
        <v>110</v>
      </c>
      <c r="J52" s="40" t="s">
        <v>111</v>
      </c>
      <c r="L52" s="32" t="s">
        <v>112</v>
      </c>
      <c r="N52" s="32" t="s">
        <v>113</v>
      </c>
      <c r="Q52" s="40" t="s">
        <v>114</v>
      </c>
      <c r="R52" s="40" t="s">
        <v>115</v>
      </c>
      <c r="X52" s="32"/>
    </row>
    <row r="53" spans="1:24" s="40" customFormat="1" x14ac:dyDescent="0.35">
      <c r="A53" s="12" t="s">
        <v>116</v>
      </c>
      <c r="B53" s="11"/>
      <c r="C53" s="11"/>
      <c r="D53" s="11"/>
      <c r="E53" s="11"/>
      <c r="F53" s="11"/>
      <c r="G53" s="11"/>
      <c r="H53" s="14"/>
      <c r="I53" s="49">
        <f>SUMPRODUCT($B$51:$H$51,B53:H53)</f>
        <v>0</v>
      </c>
      <c r="J53" s="51">
        <f>RANK(I53,$I$53:$I$59,0)+COUNTIF($I$53:I53,I53)-1</f>
        <v>1</v>
      </c>
      <c r="L53" s="32">
        <v>1</v>
      </c>
      <c r="N53" s="32" t="str">
        <f>INDEX($A$53:$A$59,MATCH(L53,$J$53:$J$59,0))</f>
        <v>CP1</v>
      </c>
      <c r="Q53" s="52">
        <f>SUMIF($A$53:$A$59,N53,$I$53:$I$59)</f>
        <v>0</v>
      </c>
      <c r="R53" s="53" t="e">
        <f>Q53/$Q$60</f>
        <v>#DIV/0!</v>
      </c>
      <c r="X53" s="32"/>
    </row>
    <row r="54" spans="1:24" s="40" customFormat="1" x14ac:dyDescent="0.35">
      <c r="A54" s="12" t="s">
        <v>117</v>
      </c>
      <c r="B54" s="11"/>
      <c r="C54" s="11"/>
      <c r="D54" s="11"/>
      <c r="E54" s="11"/>
      <c r="F54" s="11"/>
      <c r="G54" s="11"/>
      <c r="H54" s="14"/>
      <c r="I54" s="49">
        <f t="shared" ref="I54:I59" si="22">SUMPRODUCT($B$51:$H$51,B54:H54)</f>
        <v>0</v>
      </c>
      <c r="J54" s="51">
        <f>RANK(I54,$I$53:$I$59,0)+COUNTIF($I$53:I54,I54)-1</f>
        <v>2</v>
      </c>
      <c r="L54" s="32">
        <f>L53+1</f>
        <v>2</v>
      </c>
      <c r="N54" s="32" t="str">
        <f t="shared" ref="N54:N59" si="23">INDEX($A$53:$A$59,MATCH(L54,$J$53:$J$59,0))</f>
        <v>CP2</v>
      </c>
      <c r="Q54" s="52">
        <f t="shared" ref="Q54:Q59" si="24">SUMIF($A$53:$A$59,N54,$I$53:$I$59)</f>
        <v>0</v>
      </c>
      <c r="R54" s="53" t="e">
        <f t="shared" ref="R54:R59" si="25">Q54/$Q$60</f>
        <v>#DIV/0!</v>
      </c>
      <c r="X54" s="32"/>
    </row>
    <row r="55" spans="1:24" s="40" customFormat="1" x14ac:dyDescent="0.35">
      <c r="A55" s="12" t="s">
        <v>118</v>
      </c>
      <c r="B55" s="11"/>
      <c r="C55" s="11"/>
      <c r="D55" s="11"/>
      <c r="E55" s="11"/>
      <c r="F55" s="11"/>
      <c r="G55" s="11"/>
      <c r="H55" s="14"/>
      <c r="I55" s="49">
        <f t="shared" si="22"/>
        <v>0</v>
      </c>
      <c r="J55" s="51">
        <f>RANK(I55,$I$53:$I$59,0)+COUNTIF($I$53:I55,I55)-1</f>
        <v>3</v>
      </c>
      <c r="L55" s="32">
        <f t="shared" ref="L55:L59" si="26">L54+1</f>
        <v>3</v>
      </c>
      <c r="N55" s="32" t="str">
        <f t="shared" si="23"/>
        <v>CP3</v>
      </c>
      <c r="Q55" s="52">
        <f t="shared" si="24"/>
        <v>0</v>
      </c>
      <c r="R55" s="53" t="e">
        <f t="shared" si="25"/>
        <v>#DIV/0!</v>
      </c>
      <c r="X55" s="32"/>
    </row>
    <row r="56" spans="1:24" s="40" customFormat="1" x14ac:dyDescent="0.35">
      <c r="A56" s="12" t="s">
        <v>119</v>
      </c>
      <c r="B56" s="11"/>
      <c r="C56" s="11"/>
      <c r="D56" s="11"/>
      <c r="E56" s="11"/>
      <c r="F56" s="11"/>
      <c r="G56" s="11"/>
      <c r="H56" s="14"/>
      <c r="I56" s="49">
        <f t="shared" si="22"/>
        <v>0</v>
      </c>
      <c r="J56" s="51">
        <f>RANK(I56,$I$53:$I$59,0)+COUNTIF($I$53:I56,I56)-1</f>
        <v>4</v>
      </c>
      <c r="L56" s="32">
        <f t="shared" si="26"/>
        <v>4</v>
      </c>
      <c r="N56" s="32" t="str">
        <f t="shared" si="23"/>
        <v>CP4</v>
      </c>
      <c r="Q56" s="52">
        <f t="shared" si="24"/>
        <v>0</v>
      </c>
      <c r="R56" s="53" t="e">
        <f t="shared" si="25"/>
        <v>#DIV/0!</v>
      </c>
      <c r="X56" s="32"/>
    </row>
    <row r="57" spans="1:24" s="40" customFormat="1" x14ac:dyDescent="0.35">
      <c r="A57" s="12" t="s">
        <v>120</v>
      </c>
      <c r="B57" s="11"/>
      <c r="C57" s="11"/>
      <c r="D57" s="11"/>
      <c r="E57" s="11"/>
      <c r="F57" s="11"/>
      <c r="G57" s="11"/>
      <c r="H57" s="14"/>
      <c r="I57" s="49">
        <f t="shared" si="22"/>
        <v>0</v>
      </c>
      <c r="J57" s="51">
        <f>RANK(I57,$I$53:$I$59,0)+COUNTIF($I$53:I57,I57)-1</f>
        <v>5</v>
      </c>
      <c r="L57" s="32">
        <f t="shared" si="26"/>
        <v>5</v>
      </c>
      <c r="N57" s="32" t="str">
        <f t="shared" si="23"/>
        <v>CP5</v>
      </c>
      <c r="Q57" s="52">
        <f t="shared" si="24"/>
        <v>0</v>
      </c>
      <c r="R57" s="53" t="e">
        <f t="shared" si="25"/>
        <v>#DIV/0!</v>
      </c>
      <c r="X57" s="32"/>
    </row>
    <row r="58" spans="1:24" s="40" customFormat="1" x14ac:dyDescent="0.35">
      <c r="A58" s="12" t="s">
        <v>121</v>
      </c>
      <c r="B58" s="11"/>
      <c r="C58" s="11"/>
      <c r="D58" s="11"/>
      <c r="E58" s="11"/>
      <c r="F58" s="11"/>
      <c r="G58" s="11"/>
      <c r="H58" s="14"/>
      <c r="I58" s="49">
        <f t="shared" si="22"/>
        <v>0</v>
      </c>
      <c r="J58" s="51">
        <f>RANK(I58,$I$53:$I$59,0)+COUNTIF($I$53:I58,I58)-1</f>
        <v>6</v>
      </c>
      <c r="L58" s="32">
        <f t="shared" si="26"/>
        <v>6</v>
      </c>
      <c r="N58" s="32" t="str">
        <f t="shared" si="23"/>
        <v>CP6</v>
      </c>
      <c r="Q58" s="52">
        <f t="shared" si="24"/>
        <v>0</v>
      </c>
      <c r="R58" s="53" t="e">
        <f t="shared" si="25"/>
        <v>#DIV/0!</v>
      </c>
      <c r="X58" s="32"/>
    </row>
    <row r="59" spans="1:24" s="40" customFormat="1" x14ac:dyDescent="0.35">
      <c r="A59" s="12" t="s">
        <v>122</v>
      </c>
      <c r="B59" s="11"/>
      <c r="C59" s="11"/>
      <c r="D59" s="11"/>
      <c r="E59" s="11"/>
      <c r="F59" s="11"/>
      <c r="G59" s="11"/>
      <c r="H59" s="14"/>
      <c r="I59" s="49">
        <f t="shared" si="22"/>
        <v>0</v>
      </c>
      <c r="J59" s="51">
        <f>RANK(I59,$I$53:$I$59,0)+COUNTIF($I$53:I59,I59)-1</f>
        <v>7</v>
      </c>
      <c r="L59" s="32">
        <f t="shared" si="26"/>
        <v>7</v>
      </c>
      <c r="N59" s="32" t="str">
        <f t="shared" si="23"/>
        <v>CP7</v>
      </c>
      <c r="Q59" s="52">
        <f t="shared" si="24"/>
        <v>0</v>
      </c>
      <c r="R59" s="53" t="e">
        <f t="shared" si="25"/>
        <v>#DIV/0!</v>
      </c>
      <c r="X59" s="32"/>
    </row>
    <row r="60" spans="1:24" s="40" customFormat="1" x14ac:dyDescent="0.35">
      <c r="L60" s="32"/>
      <c r="N60" s="32"/>
      <c r="Q60" s="51">
        <f>SUM(Q53:Q59)</f>
        <v>0</v>
      </c>
      <c r="X60" s="32"/>
    </row>
    <row r="61" spans="1:24" s="40" customFormat="1" x14ac:dyDescent="0.35">
      <c r="L61" s="32"/>
      <c r="N61" s="32"/>
      <c r="X61" s="32"/>
    </row>
    <row r="62" spans="1:24" s="40" customFormat="1" x14ac:dyDescent="0.35">
      <c r="L62" s="32"/>
      <c r="N62" s="32"/>
      <c r="X62" s="32"/>
    </row>
    <row r="63" spans="1:24" s="40" customFormat="1" x14ac:dyDescent="0.35">
      <c r="A63" s="40" t="str">
        <f>"Evolutie vanzari sector """&amp;'2.Sit. Rezultatului global'!W33&amp;""""</f>
        <v>Evolutie vanzari sector "Polimeri reciclati si compounduri"</v>
      </c>
      <c r="L63" s="32"/>
      <c r="N63" s="32"/>
      <c r="Q63" s="40" t="str">
        <f>"Total Vanzari :"&amp;TEXT(Q60,"#,##0;[Red]-#,##0")</f>
        <v>Total Vanzari :,0</v>
      </c>
      <c r="X63" s="32"/>
    </row>
    <row r="64" spans="1:24" s="40" customFormat="1" x14ac:dyDescent="0.35">
      <c r="L64" s="32"/>
      <c r="N64" s="32"/>
      <c r="X64" s="32"/>
    </row>
    <row r="65" spans="1:24" s="40" customFormat="1" x14ac:dyDescent="0.35">
      <c r="L65" s="32"/>
      <c r="N65" s="32"/>
      <c r="Q65" s="40" t="str">
        <f>"Vanzari de produse finite in "&amp;'2.Sit. Rezultatului global'!W23</f>
        <v xml:space="preserve">Vanzari de produse finite in </v>
      </c>
      <c r="X65" s="32"/>
    </row>
    <row r="66" spans="1:24" x14ac:dyDescent="0.35">
      <c r="A66" s="40" t="s">
        <v>109</v>
      </c>
      <c r="B66" s="24">
        <f>'2.Sit. Rezultatului global'!B35</f>
        <v>2017</v>
      </c>
      <c r="C66" s="24">
        <f>'2.Sit. Rezultatului global'!C35</f>
        <v>2018</v>
      </c>
      <c r="D66" s="24">
        <f>'2.Sit. Rezultatului global'!D35</f>
        <v>2019</v>
      </c>
      <c r="E66" s="24">
        <f>'2.Sit. Rezultatului global'!E35</f>
        <v>2020</v>
      </c>
      <c r="F66" s="24">
        <f>'2.Sit. Rezultatului global'!F35</f>
        <v>2021</v>
      </c>
      <c r="G66" s="24">
        <f>'2.Sit. Rezultatului global'!G35</f>
        <v>2022</v>
      </c>
      <c r="H66" s="24">
        <f>'2.Sit. Rezultatului global'!H35</f>
        <v>2023</v>
      </c>
    </row>
    <row r="67" spans="1:24" x14ac:dyDescent="0.35">
      <c r="A67" s="40" t="s">
        <v>136</v>
      </c>
      <c r="B67" s="63">
        <f>'2.Sit. Rezultatului global'!B36</f>
        <v>101155949.34</v>
      </c>
      <c r="C67" s="63">
        <f>'2.Sit. Rezultatului global'!C36</f>
        <v>108553299.26000002</v>
      </c>
      <c r="D67" s="63">
        <f>'2.Sit. Rezultatului global'!D36</f>
        <v>103347658.91</v>
      </c>
      <c r="E67" s="63">
        <f>'2.Sit. Rezultatului global'!E36</f>
        <v>101171874.89999998</v>
      </c>
      <c r="F67" s="63">
        <f>'2.Sit. Rezultatului global'!F36</f>
        <v>125387822.75</v>
      </c>
      <c r="G67" s="63">
        <f>'2.Sit. Rezultatului global'!G36</f>
        <v>127314643.90000001</v>
      </c>
      <c r="H67" s="63">
        <f>'2.Sit. Rezultatului global'!H36</f>
        <v>109074941.45000003</v>
      </c>
      <c r="I67" s="24">
        <f>IF(A67='2.Sit. Rezultatului global'!$W$33,1,0)</f>
        <v>0</v>
      </c>
    </row>
    <row r="68" spans="1:24" x14ac:dyDescent="0.35">
      <c r="A68" s="40" t="s">
        <v>137</v>
      </c>
      <c r="B68" s="63">
        <f>'2.Sit. Rezultatului global'!B37</f>
        <v>32045842.160000008</v>
      </c>
      <c r="C68" s="63">
        <f>'2.Sit. Rezultatului global'!C37</f>
        <v>34431228.289999992</v>
      </c>
      <c r="D68" s="63">
        <f>'2.Sit. Rezultatului global'!D37</f>
        <v>30961367.02</v>
      </c>
      <c r="E68" s="63">
        <f>'2.Sit. Rezultatului global'!E37</f>
        <v>23154618.529999994</v>
      </c>
      <c r="F68" s="63">
        <f>'2.Sit. Rezultatului global'!F37</f>
        <v>38271305.11999999</v>
      </c>
      <c r="G68" s="63">
        <f>'2.Sit. Rezultatului global'!G37</f>
        <v>46502131.649999984</v>
      </c>
      <c r="H68" s="63">
        <f>'2.Sit. Rezultatului global'!H37</f>
        <v>37905250.480000019</v>
      </c>
      <c r="I68" s="24">
        <f>IF(A68='2.Sit. Rezultatului global'!$W$33,1,0)</f>
        <v>1</v>
      </c>
    </row>
    <row r="69" spans="1:24" x14ac:dyDescent="0.35">
      <c r="A69" s="40" t="s">
        <v>138</v>
      </c>
      <c r="B69" s="63">
        <f>'2.Sit. Rezultatului global'!B38</f>
        <v>6927091.4000000022</v>
      </c>
      <c r="C69" s="63">
        <f>'2.Sit. Rezultatului global'!C38</f>
        <v>5402107.4799999995</v>
      </c>
      <c r="D69" s="63">
        <f>'2.Sit. Rezultatului global'!D38</f>
        <v>5607112.0099999998</v>
      </c>
      <c r="E69" s="63">
        <f>'2.Sit. Rezultatului global'!E38</f>
        <v>5512011.29</v>
      </c>
      <c r="F69" s="63">
        <f>'2.Sit. Rezultatului global'!F38</f>
        <v>5831907.4100000001</v>
      </c>
      <c r="G69" s="63">
        <f>'2.Sit. Rezultatului global'!G38</f>
        <v>9489499.3099999987</v>
      </c>
      <c r="H69" s="63">
        <f>'2.Sit. Rezultatului global'!H38</f>
        <v>6351216.3600000003</v>
      </c>
      <c r="I69" s="24">
        <f>IF(A69='2.Sit. Rezultatului global'!$W$33,1,0)</f>
        <v>0</v>
      </c>
    </row>
    <row r="70" spans="1:24" x14ac:dyDescent="0.35">
      <c r="A70" s="40" t="s">
        <v>139</v>
      </c>
      <c r="B70" s="63">
        <f>'2.Sit. Rezultatului global'!B39</f>
        <v>55011813.029999934</v>
      </c>
      <c r="C70" s="63">
        <f>'2.Sit. Rezultatului global'!C39</f>
        <v>50074083.759999976</v>
      </c>
      <c r="D70" s="63">
        <f>'2.Sit. Rezultatului global'!D39</f>
        <v>43941141.789999999</v>
      </c>
      <c r="E70" s="63">
        <f>'2.Sit. Rezultatului global'!E39</f>
        <v>51307967.540000007</v>
      </c>
      <c r="F70" s="63">
        <f>'2.Sit. Rezultatului global'!F39</f>
        <v>95246611.829999998</v>
      </c>
      <c r="G70" s="63">
        <f>'2.Sit. Rezultatului global'!G39</f>
        <v>79494779.260000005</v>
      </c>
      <c r="H70" s="63">
        <f>'2.Sit. Rezultatului global'!H39</f>
        <v>60899445.830000013</v>
      </c>
      <c r="I70" s="24">
        <f>IF(A70='2.Sit. Rezultatului global'!$W$33,1,0)</f>
        <v>0</v>
      </c>
    </row>
    <row r="71" spans="1:24" x14ac:dyDescent="0.35">
      <c r="B71" s="63"/>
      <c r="C71" s="63"/>
      <c r="D71" s="63"/>
      <c r="E71" s="63"/>
      <c r="F71" s="63"/>
      <c r="G71" s="63"/>
      <c r="H71" s="64"/>
    </row>
    <row r="73" spans="1:24" x14ac:dyDescent="0.35">
      <c r="A73" s="40"/>
    </row>
    <row r="74" spans="1:24" x14ac:dyDescent="0.35">
      <c r="H74" s="64"/>
    </row>
    <row r="75" spans="1:24" x14ac:dyDescent="0.35">
      <c r="A75" s="40" t="s">
        <v>109</v>
      </c>
      <c r="B75" s="24">
        <f>B66</f>
        <v>2017</v>
      </c>
      <c r="C75" s="24">
        <f t="shared" ref="C75:H75" si="27">C66</f>
        <v>2018</v>
      </c>
      <c r="D75" s="24">
        <f t="shared" si="27"/>
        <v>2019</v>
      </c>
      <c r="E75" s="24">
        <f t="shared" si="27"/>
        <v>2020</v>
      </c>
      <c r="F75" s="24">
        <f t="shared" si="27"/>
        <v>2021</v>
      </c>
      <c r="G75" s="24">
        <f t="shared" si="27"/>
        <v>2022</v>
      </c>
      <c r="H75" s="24">
        <f t="shared" si="27"/>
        <v>2023</v>
      </c>
    </row>
    <row r="76" spans="1:24" x14ac:dyDescent="0.35">
      <c r="B76" s="63">
        <f>SUMPRODUCT(B67:B70,$I$67:$I$70)</f>
        <v>32045842.160000008</v>
      </c>
      <c r="C76" s="63">
        <f t="shared" ref="C76:H76" si="28">SUMPRODUCT(C67:C70,$I$67:$I$70)</f>
        <v>34431228.289999992</v>
      </c>
      <c r="D76" s="63">
        <f t="shared" si="28"/>
        <v>30961367.02</v>
      </c>
      <c r="E76" s="63">
        <f t="shared" si="28"/>
        <v>23154618.529999994</v>
      </c>
      <c r="F76" s="63">
        <f t="shared" si="28"/>
        <v>38271305.11999999</v>
      </c>
      <c r="G76" s="63">
        <f t="shared" si="28"/>
        <v>46502131.649999984</v>
      </c>
      <c r="H76" s="63">
        <f t="shared" si="28"/>
        <v>37905250.480000019</v>
      </c>
    </row>
    <row r="77" spans="1:24" x14ac:dyDescent="0.35">
      <c r="H77" s="64">
        <f>H76/B76-1</f>
        <v>0.18284457280744504</v>
      </c>
    </row>
    <row r="79" spans="1:24" x14ac:dyDescent="0.35">
      <c r="A79" s="40"/>
    </row>
    <row r="81" spans="1:8" x14ac:dyDescent="0.35">
      <c r="H81" s="64"/>
    </row>
    <row r="82" spans="1:8" x14ac:dyDescent="0.35">
      <c r="A82" s="40"/>
      <c r="B82" s="50">
        <f>B9</f>
        <v>2017</v>
      </c>
      <c r="C82" s="50">
        <f t="shared" ref="C82:H82" si="29">C9</f>
        <v>2018</v>
      </c>
      <c r="D82" s="50">
        <f t="shared" si="29"/>
        <v>2019</v>
      </c>
      <c r="E82" s="50">
        <f t="shared" si="29"/>
        <v>2020</v>
      </c>
      <c r="F82" s="50">
        <f t="shared" si="29"/>
        <v>2021</v>
      </c>
      <c r="G82" s="50">
        <f t="shared" si="29"/>
        <v>2022</v>
      </c>
      <c r="H82" s="50">
        <f t="shared" si="29"/>
        <v>2023</v>
      </c>
    </row>
    <row r="83" spans="1:8" x14ac:dyDescent="0.35">
      <c r="A83" s="65" t="str">
        <f>A10</f>
        <v>Active pe termen lung</v>
      </c>
      <c r="B83" s="53">
        <f>B10/B$86</f>
        <v>0.77875716397752248</v>
      </c>
      <c r="C83" s="53">
        <f t="shared" ref="C83:H84" si="30">C10/C$86</f>
        <v>0.67264607698530154</v>
      </c>
      <c r="D83" s="53">
        <f t="shared" si="30"/>
        <v>0.66402773545916127</v>
      </c>
      <c r="E83" s="53">
        <f t="shared" si="30"/>
        <v>0.66096895005440959</v>
      </c>
      <c r="F83" s="53">
        <f t="shared" si="30"/>
        <v>0.56701448515870667</v>
      </c>
      <c r="G83" s="53">
        <f t="shared" si="30"/>
        <v>0.47600640384382881</v>
      </c>
      <c r="H83" s="53">
        <f t="shared" si="30"/>
        <v>0.49323853214665442</v>
      </c>
    </row>
    <row r="84" spans="1:8" x14ac:dyDescent="0.35">
      <c r="A84" s="65" t="str">
        <f>A11</f>
        <v>Active curente</v>
      </c>
      <c r="B84" s="53">
        <f>B11/B$86</f>
        <v>0.22124283602247755</v>
      </c>
      <c r="C84" s="53">
        <f t="shared" si="30"/>
        <v>0.32735392301469846</v>
      </c>
      <c r="D84" s="53">
        <f t="shared" si="30"/>
        <v>0.33597226454083884</v>
      </c>
      <c r="E84" s="53">
        <f t="shared" si="30"/>
        <v>0.33903104994559041</v>
      </c>
      <c r="F84" s="53">
        <f t="shared" si="30"/>
        <v>0.43298551484129338</v>
      </c>
      <c r="G84" s="53">
        <f t="shared" si="30"/>
        <v>0.52399359615617125</v>
      </c>
      <c r="H84" s="53">
        <f t="shared" si="30"/>
        <v>0.50676146785334553</v>
      </c>
    </row>
    <row r="85" spans="1:8" x14ac:dyDescent="0.35">
      <c r="A85" s="40"/>
      <c r="B85" s="40"/>
      <c r="C85" s="40"/>
      <c r="D85" s="40"/>
      <c r="E85" s="40"/>
      <c r="F85" s="40"/>
      <c r="G85" s="40"/>
      <c r="H85" s="40"/>
    </row>
    <row r="86" spans="1:8" x14ac:dyDescent="0.35">
      <c r="A86" s="40"/>
      <c r="B86" s="51">
        <f>B10+B11</f>
        <v>269692088.85000002</v>
      </c>
      <c r="C86" s="51">
        <f t="shared" ref="C86:H86" si="31">C10+C11</f>
        <v>253340788.24000001</v>
      </c>
      <c r="D86" s="51">
        <f t="shared" si="31"/>
        <v>246194904.51999998</v>
      </c>
      <c r="E86" s="51">
        <f t="shared" si="31"/>
        <v>231354180.93000001</v>
      </c>
      <c r="F86" s="51">
        <f t="shared" si="31"/>
        <v>244022870</v>
      </c>
      <c r="G86" s="51">
        <f t="shared" si="31"/>
        <v>280067417</v>
      </c>
      <c r="H86" s="51">
        <f t="shared" si="31"/>
        <v>241134253</v>
      </c>
    </row>
    <row r="87" spans="1:8" x14ac:dyDescent="0.35">
      <c r="A87" s="40"/>
      <c r="B87" s="40"/>
      <c r="C87" s="40"/>
      <c r="D87" s="40"/>
      <c r="E87" s="40"/>
      <c r="F87" s="40"/>
      <c r="G87" s="40"/>
      <c r="H87" s="40"/>
    </row>
    <row r="88" spans="1:8" x14ac:dyDescent="0.35">
      <c r="A88" s="40"/>
      <c r="B88" s="40"/>
      <c r="C88" s="40"/>
      <c r="D88" s="40"/>
      <c r="E88" s="40"/>
      <c r="F88" s="40"/>
      <c r="G88" s="40"/>
      <c r="H88" s="40"/>
    </row>
    <row r="89" spans="1:8" x14ac:dyDescent="0.35">
      <c r="A89" s="40"/>
      <c r="B89" s="40"/>
      <c r="C89" s="40"/>
      <c r="D89" s="40"/>
      <c r="E89" s="40"/>
      <c r="F89" s="40"/>
      <c r="G89" s="40"/>
      <c r="H89" s="40"/>
    </row>
    <row r="90" spans="1:8" x14ac:dyDescent="0.35">
      <c r="A90" s="40" t="str">
        <f>"Total "&amp;Grafice!$N$2</f>
        <v>Total Active</v>
      </c>
      <c r="B90" s="40"/>
      <c r="C90" s="40"/>
      <c r="D90" s="40"/>
      <c r="E90" s="40"/>
      <c r="F90" s="40"/>
      <c r="G90" s="40"/>
      <c r="H90" s="4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63"/>
  <sheetViews>
    <sheetView showGridLines="0" zoomScale="90" zoomScaleNormal="90" workbookViewId="0"/>
  </sheetViews>
  <sheetFormatPr defaultColWidth="8.90625" defaultRowHeight="15" x14ac:dyDescent="0.35"/>
  <cols>
    <col min="1" max="1" width="54.81640625" style="40" bestFit="1" customWidth="1"/>
    <col min="2" max="2" width="12.6328125" style="40" customWidth="1"/>
    <col min="3" max="3" width="12.81640625" style="40" customWidth="1"/>
    <col min="4" max="5" width="13" style="40" bestFit="1" customWidth="1"/>
    <col min="6" max="6" width="12.81640625" style="40" bestFit="1" customWidth="1"/>
    <col min="7" max="7" width="13" style="40" bestFit="1" customWidth="1"/>
    <col min="8" max="8" width="13.08984375" style="40" customWidth="1"/>
    <col min="9" max="9" width="2.90625" style="58" bestFit="1" customWidth="1"/>
    <col min="10" max="10" width="12.36328125" style="40" bestFit="1" customWidth="1"/>
    <col min="11" max="11" width="9.08984375" style="40" bestFit="1" customWidth="1"/>
    <col min="12" max="16384" width="8.90625" style="40"/>
  </cols>
  <sheetData>
    <row r="3" spans="1:12" ht="15.5" thickBot="1" x14ac:dyDescent="0.4"/>
    <row r="4" spans="1:12" ht="26.4" customHeight="1" thickBot="1" x14ac:dyDescent="0.4">
      <c r="A4" s="208" t="s">
        <v>0</v>
      </c>
      <c r="B4" s="209">
        <v>2017</v>
      </c>
      <c r="C4" s="209">
        <f>B4+1</f>
        <v>2018</v>
      </c>
      <c r="D4" s="209">
        <f t="shared" ref="D4:H4" si="0">C4+1</f>
        <v>2019</v>
      </c>
      <c r="E4" s="209">
        <f t="shared" si="0"/>
        <v>2020</v>
      </c>
      <c r="F4" s="209">
        <f t="shared" si="0"/>
        <v>2021</v>
      </c>
      <c r="G4" s="209">
        <f t="shared" si="0"/>
        <v>2022</v>
      </c>
      <c r="H4" s="209">
        <f t="shared" si="0"/>
        <v>2023</v>
      </c>
      <c r="I4" s="210" t="str">
        <f>CONCATENATE(H4," vs. ",G4)</f>
        <v>2023 vs. 2022</v>
      </c>
      <c r="J4" s="210"/>
      <c r="K4" s="210"/>
    </row>
    <row r="5" spans="1:12" ht="14.5" x14ac:dyDescent="0.35">
      <c r="A5" s="211" t="s">
        <v>85</v>
      </c>
      <c r="B5" s="9">
        <f>'2.Sit. Rezultatului global'!B4</f>
        <v>195140694.54999998</v>
      </c>
      <c r="C5" s="9">
        <f>'2.Sit. Rezultatului global'!C4</f>
        <v>198460718.70000002</v>
      </c>
      <c r="D5" s="9">
        <f>'2.Sit. Rezultatului global'!D4</f>
        <v>183857279.62999997</v>
      </c>
      <c r="E5" s="9">
        <f>'2.Sit. Rezultatului global'!E4</f>
        <v>181146471.98999998</v>
      </c>
      <c r="F5" s="9">
        <f>'2.Sit. Rezultatului global'!F4</f>
        <v>264737647</v>
      </c>
      <c r="G5" s="9">
        <f>'2.Sit. Rezultatului global'!G4</f>
        <v>262801054</v>
      </c>
      <c r="H5" s="213">
        <f>'2.Sit. Rezultatului global'!H4</f>
        <v>214230854</v>
      </c>
      <c r="I5" s="216" t="str">
        <f>IF(H5+G5&gt;0,IF(H5&gt;G5,"▲",IF(H5=G5,"▬","▼")),IF(H5&gt;G5,"▼",IF(H5=G5,"▬","▲")))</f>
        <v>▼</v>
      </c>
      <c r="J5" s="217">
        <f>H5-G5</f>
        <v>-48570200</v>
      </c>
      <c r="K5" s="218">
        <f>H5/G5-1</f>
        <v>-0.18481737139456067</v>
      </c>
      <c r="L5" s="53"/>
    </row>
    <row r="6" spans="1:12" ht="14.5" x14ac:dyDescent="0.35">
      <c r="A6" s="211" t="s">
        <v>23</v>
      </c>
      <c r="B6" s="9">
        <f>'2.Sit. Rezultatului global'!B5</f>
        <v>5090319.22</v>
      </c>
      <c r="C6" s="9">
        <f>'2.Sit. Rezultatului global'!C5</f>
        <v>4518855.0299999993</v>
      </c>
      <c r="D6" s="9">
        <f>'2.Sit. Rezultatului global'!D5</f>
        <v>4140236.81</v>
      </c>
      <c r="E6" s="9">
        <f>'2.Sit. Rezultatului global'!E5</f>
        <v>3967550.28</v>
      </c>
      <c r="F6" s="9">
        <f>'2.Sit. Rezultatului global'!F5</f>
        <v>4459406</v>
      </c>
      <c r="G6" s="9">
        <f>'2.Sit. Rezultatului global'!G5</f>
        <v>4454249</v>
      </c>
      <c r="H6" s="213">
        <f>'2.Sit. Rezultatului global'!H5</f>
        <v>4303986</v>
      </c>
      <c r="I6" s="216" t="str">
        <f t="shared" ref="I6:I16" si="1">IF(H6+G6&gt;0,IF(H6&gt;G6,"▲",IF(H6=G6,"▬","▼")),IF(H6&gt;G6,"▼",IF(H6=G6,"▬","▲")))</f>
        <v>▼</v>
      </c>
      <c r="J6" s="217">
        <f t="shared" ref="J6:J17" si="2">H6-G6</f>
        <v>-150263</v>
      </c>
      <c r="K6" s="218">
        <f t="shared" ref="K6:K17" si="3">H6/G6-1</f>
        <v>-3.3734755286469187E-2</v>
      </c>
      <c r="L6" s="53"/>
    </row>
    <row r="7" spans="1:12" thickBot="1" x14ac:dyDescent="0.4">
      <c r="A7" s="211" t="s">
        <v>25</v>
      </c>
      <c r="B7" s="10">
        <f>'EBIT-EBITDA'!B9</f>
        <v>15768480.169999992</v>
      </c>
      <c r="C7" s="10">
        <f>'EBIT-EBITDA'!C9</f>
        <v>14702840.760000018</v>
      </c>
      <c r="D7" s="10">
        <f>'EBIT-EBITDA'!D9</f>
        <v>10419423.999999983</v>
      </c>
      <c r="E7" s="10">
        <f>'EBIT-EBITDA'!E9</f>
        <v>10207662.439999962</v>
      </c>
      <c r="F7" s="10">
        <f>'EBIT-EBITDA'!F9</f>
        <v>8112816</v>
      </c>
      <c r="G7" s="10">
        <f>'EBIT-EBITDA'!G9</f>
        <v>61072654</v>
      </c>
      <c r="H7" s="213">
        <f>'EBIT-EBITDA'!H9</f>
        <v>12582621</v>
      </c>
      <c r="I7" s="216" t="str">
        <f t="shared" si="1"/>
        <v>▼</v>
      </c>
      <c r="J7" s="217">
        <f t="shared" si="2"/>
        <v>-48490033</v>
      </c>
      <c r="K7" s="218">
        <f t="shared" si="3"/>
        <v>-0.79397291298328054</v>
      </c>
      <c r="L7" s="53"/>
    </row>
    <row r="8" spans="1:12" thickBot="1" x14ac:dyDescent="0.4">
      <c r="A8" s="212" t="s">
        <v>124</v>
      </c>
      <c r="B8" s="61">
        <v>12182514.040000001</v>
      </c>
      <c r="C8" s="61">
        <v>11384242.279999956</v>
      </c>
      <c r="D8" s="61">
        <v>12318776.420000032</v>
      </c>
      <c r="E8" s="61">
        <v>12374753.540000008</v>
      </c>
      <c r="F8" s="61">
        <v>13987047.550000012</v>
      </c>
      <c r="G8" s="61">
        <v>15025300.380000001</v>
      </c>
      <c r="H8" s="214">
        <v>4873275.8999999762</v>
      </c>
      <c r="I8" s="219" t="str">
        <f t="shared" si="1"/>
        <v>▼</v>
      </c>
      <c r="J8" s="220">
        <f t="shared" ref="J8" si="4">H8-G8</f>
        <v>-10152024.480000025</v>
      </c>
      <c r="K8" s="221">
        <f>H8/G8-1</f>
        <v>-0.67566199831274343</v>
      </c>
      <c r="L8" s="53"/>
    </row>
    <row r="9" spans="1:12" thickBot="1" x14ac:dyDescent="0.4">
      <c r="A9" s="211" t="s">
        <v>164</v>
      </c>
      <c r="B9" s="10">
        <f>'2.Sit. Rezultatului global'!B12</f>
        <v>7747982.8699999955</v>
      </c>
      <c r="C9" s="10">
        <f>'2.Sit. Rezultatului global'!C12</f>
        <v>5088122.8700000178</v>
      </c>
      <c r="D9" s="10">
        <f>'2.Sit. Rezultatului global'!D12</f>
        <v>3436523.5099999816</v>
      </c>
      <c r="E9" s="10">
        <f>'2.Sit. Rezultatului global'!E12</f>
        <v>3195643.0099999616</v>
      </c>
      <c r="F9" s="10">
        <f>'2.Sit. Rezultatului global'!F12</f>
        <v>7560431</v>
      </c>
      <c r="G9" s="10">
        <f>'2.Sit. Rezultatului global'!G12</f>
        <v>6621228</v>
      </c>
      <c r="H9" s="213">
        <f>'2.Sit. Rezultatului global'!H12</f>
        <v>2133197</v>
      </c>
      <c r="I9" s="219" t="str">
        <f t="shared" ref="I9" si="5">IF(H9+G9&gt;0,IF(H9&gt;G9,"▲",IF(H9=G9,"▬","▼")),IF(H9&gt;G9,"▼",IF(H9=G9,"▬","▲")))</f>
        <v>▼</v>
      </c>
      <c r="J9" s="220">
        <f t="shared" ref="J9" si="6">H9-G9</f>
        <v>-4488031</v>
      </c>
      <c r="K9" s="221">
        <f>H9/G9-1</f>
        <v>-0.6778245666815883</v>
      </c>
      <c r="L9" s="53"/>
    </row>
    <row r="10" spans="1:12" ht="14.5" x14ac:dyDescent="0.35">
      <c r="A10" s="211" t="s">
        <v>79</v>
      </c>
      <c r="B10" s="10">
        <f>'2.Sit. Rezultatului global'!B18</f>
        <v>4798065.6499999948</v>
      </c>
      <c r="C10" s="10">
        <f>'2.Sit. Rezultatului global'!C18</f>
        <v>4800354.1700000176</v>
      </c>
      <c r="D10" s="10">
        <f>'2.Sit. Rezultatului global'!D18</f>
        <v>370097.9599999818</v>
      </c>
      <c r="E10" s="10">
        <f>'2.Sit. Rezultatului global'!E18</f>
        <v>869105.43999996176</v>
      </c>
      <c r="F10" s="10">
        <f>'2.Sit. Rezultatului global'!F18</f>
        <v>-1447458</v>
      </c>
      <c r="G10" s="10">
        <f>'2.Sit. Rezultatului global'!G18</f>
        <v>51471690</v>
      </c>
      <c r="H10" s="213">
        <f>'2.Sit. Rezultatului global'!H18</f>
        <v>3313809</v>
      </c>
      <c r="I10" s="216" t="str">
        <f>IF(H10+G10&gt;0,IF(H10&gt;G10,"▲",IF(H10=G10,"▬","▼")),IF(H10&gt;G10,"▼",IF(H10=G10,"▬","▲")))</f>
        <v>▼</v>
      </c>
      <c r="J10" s="217">
        <f t="shared" si="2"/>
        <v>-48157881</v>
      </c>
      <c r="K10" s="218">
        <f t="shared" ref="K10:K13" si="7">H10/G10-1</f>
        <v>-0.93561880326835978</v>
      </c>
      <c r="L10" s="53"/>
    </row>
    <row r="11" spans="1:12" ht="14.5" x14ac:dyDescent="0.35">
      <c r="A11" s="211" t="s">
        <v>175</v>
      </c>
      <c r="B11" s="10">
        <f>SUM('2.Sit. Rezultatului global'!B56:B61)</f>
        <v>1157997.23</v>
      </c>
      <c r="C11" s="10">
        <f>SUM('2.Sit. Rezultatului global'!C56:C61)</f>
        <v>1117360</v>
      </c>
      <c r="D11" s="10">
        <f>SUM('2.Sit. Rezultatului global'!D56:D61)</f>
        <v>0</v>
      </c>
      <c r="E11" s="10">
        <f>SUM('2.Sit. Rezultatului global'!E56:E61)</f>
        <v>0</v>
      </c>
      <c r="F11" s="10">
        <f>SUM('2.Sit. Rezultatului global'!F56:F61)</f>
        <v>0</v>
      </c>
      <c r="G11" s="10">
        <f>SUM('2.Sit. Rezultatului global'!G56:G61)</f>
        <v>46745700</v>
      </c>
      <c r="H11" s="213">
        <f>SUM('2.Sit. Rezultatului global'!H56:H61)</f>
        <v>0</v>
      </c>
      <c r="I11" s="216" t="str">
        <f t="shared" ref="I11:I13" si="8">IF(H11+G11&gt;0,IF(H11&gt;G11,"▲",IF(H11=G11,"▬","▼")),IF(H11&gt;G11,"▼",IF(H11=G11,"▬","▲")))</f>
        <v>▼</v>
      </c>
      <c r="J11" s="217">
        <f t="shared" ref="J11:J13" si="9">H11-G11</f>
        <v>-46745700</v>
      </c>
      <c r="K11" s="218">
        <f t="shared" si="7"/>
        <v>-1</v>
      </c>
      <c r="L11" s="53"/>
    </row>
    <row r="12" spans="1:12" ht="14.5" x14ac:dyDescent="0.35">
      <c r="A12" s="211" t="s">
        <v>185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-989160</v>
      </c>
      <c r="H12" s="213">
        <v>0</v>
      </c>
      <c r="I12" s="216" t="str">
        <f t="shared" si="8"/>
        <v>▼</v>
      </c>
      <c r="J12" s="217">
        <f t="shared" si="9"/>
        <v>989160</v>
      </c>
      <c r="K12" s="218">
        <f t="shared" si="7"/>
        <v>-1</v>
      </c>
      <c r="L12" s="53"/>
    </row>
    <row r="13" spans="1:12" ht="14.5" x14ac:dyDescent="0.35">
      <c r="A13" s="211" t="s">
        <v>177</v>
      </c>
      <c r="B13" s="10">
        <f t="shared" ref="B13:H13" si="10">B10-(B11+B12)</f>
        <v>3640068.4199999948</v>
      </c>
      <c r="C13" s="10">
        <f t="shared" si="10"/>
        <v>3682994.1700000176</v>
      </c>
      <c r="D13" s="10">
        <f t="shared" si="10"/>
        <v>370097.9599999818</v>
      </c>
      <c r="E13" s="10">
        <f t="shared" si="10"/>
        <v>869105.43999996176</v>
      </c>
      <c r="F13" s="10">
        <f t="shared" si="10"/>
        <v>-1447458</v>
      </c>
      <c r="G13" s="10">
        <f t="shared" si="10"/>
        <v>5715150</v>
      </c>
      <c r="H13" s="213">
        <f t="shared" si="10"/>
        <v>3313809</v>
      </c>
      <c r="I13" s="216" t="str">
        <f t="shared" si="8"/>
        <v>▼</v>
      </c>
      <c r="J13" s="217">
        <f t="shared" si="9"/>
        <v>-2401341</v>
      </c>
      <c r="K13" s="218">
        <f t="shared" si="7"/>
        <v>-0.42017112411747726</v>
      </c>
      <c r="L13" s="53"/>
    </row>
    <row r="14" spans="1:12" ht="14.5" x14ac:dyDescent="0.35">
      <c r="A14" s="211" t="s">
        <v>80</v>
      </c>
      <c r="B14" s="10">
        <f>'1.Pozitia Financiara'!B8</f>
        <v>210024646.26000002</v>
      </c>
      <c r="C14" s="10">
        <f>'1.Pozitia Financiara'!C8</f>
        <v>170408687.35000002</v>
      </c>
      <c r="D14" s="10">
        <f>'1.Pozitia Financiara'!D8</f>
        <v>163480244.93000001</v>
      </c>
      <c r="E14" s="10">
        <f>'1.Pozitia Financiara'!E8</f>
        <v>152917930.06</v>
      </c>
      <c r="F14" s="10">
        <f>'1.Pozitia Financiara'!F8</f>
        <v>138364502</v>
      </c>
      <c r="G14" s="10">
        <f>'1.Pozitia Financiara'!G8</f>
        <v>133313884</v>
      </c>
      <c r="H14" s="213">
        <f>'1.Pozitia Financiara'!H8</f>
        <v>118936705</v>
      </c>
      <c r="I14" s="216" t="str">
        <f t="shared" si="1"/>
        <v>▼</v>
      </c>
      <c r="J14" s="217">
        <f t="shared" si="2"/>
        <v>-14377179</v>
      </c>
      <c r="K14" s="218">
        <f t="shared" si="3"/>
        <v>-0.1078445737879784</v>
      </c>
      <c r="L14" s="53"/>
    </row>
    <row r="15" spans="1:12" ht="14.5" x14ac:dyDescent="0.35">
      <c r="A15" s="211" t="s">
        <v>81</v>
      </c>
      <c r="B15" s="10">
        <f>'1.Pozitia Financiara'!B16</f>
        <v>59667442.590000004</v>
      </c>
      <c r="C15" s="10">
        <f>'1.Pozitia Financiara'!C16</f>
        <v>82932100.889999986</v>
      </c>
      <c r="D15" s="10">
        <f>'1.Pozitia Financiara'!D16</f>
        <v>82714659.589999989</v>
      </c>
      <c r="E15" s="10">
        <f>'1.Pozitia Financiara'!E16</f>
        <v>78436250.86999999</v>
      </c>
      <c r="F15" s="10">
        <f>'1.Pozitia Financiara'!F16</f>
        <v>105658368</v>
      </c>
      <c r="G15" s="10">
        <f>'1.Pozitia Financiara'!G16</f>
        <v>146753533</v>
      </c>
      <c r="H15" s="213">
        <f>'1.Pozitia Financiara'!H16</f>
        <v>122197548</v>
      </c>
      <c r="I15" s="216" t="str">
        <f t="shared" si="1"/>
        <v>▼</v>
      </c>
      <c r="J15" s="217">
        <f t="shared" si="2"/>
        <v>-24555985</v>
      </c>
      <c r="K15" s="218">
        <f t="shared" si="3"/>
        <v>-0.16732806698425451</v>
      </c>
      <c r="L15" s="53"/>
    </row>
    <row r="16" spans="1:12" ht="14.5" x14ac:dyDescent="0.35">
      <c r="A16" s="211" t="s">
        <v>82</v>
      </c>
      <c r="B16" s="10">
        <f>'1.Pozitia Financiara'!B22</f>
        <v>133121618.8</v>
      </c>
      <c r="C16" s="10">
        <f>'1.Pozitia Financiara'!C22</f>
        <v>137190294.75999999</v>
      </c>
      <c r="D16" s="10">
        <f>'1.Pozitia Financiara'!D22</f>
        <v>137054251.80000001</v>
      </c>
      <c r="E16" s="10">
        <f>'1.Pozitia Financiara'!E22</f>
        <v>138212542.24000001</v>
      </c>
      <c r="F16" s="10">
        <f>'1.Pozitia Financiara'!F22</f>
        <v>134144881</v>
      </c>
      <c r="G16" s="10">
        <f>'1.Pozitia Financiara'!G22</f>
        <v>160222957</v>
      </c>
      <c r="H16" s="213">
        <f>'1.Pozitia Financiara'!H22</f>
        <v>150816142</v>
      </c>
      <c r="I16" s="216" t="str">
        <f t="shared" si="1"/>
        <v>▼</v>
      </c>
      <c r="J16" s="217">
        <f t="shared" si="2"/>
        <v>-9406815</v>
      </c>
      <c r="K16" s="218">
        <f t="shared" si="3"/>
        <v>-5.8710781376978383E-2</v>
      </c>
      <c r="L16" s="53"/>
    </row>
    <row r="17" spans="1:14" ht="14.5" x14ac:dyDescent="0.35">
      <c r="A17" s="211" t="s">
        <v>83</v>
      </c>
      <c r="B17" s="10">
        <f>'1.Pozitia Financiara'!B32</f>
        <v>136570470.19</v>
      </c>
      <c r="C17" s="10">
        <f>'1.Pozitia Financiara'!C32</f>
        <v>116150493.48</v>
      </c>
      <c r="D17" s="10">
        <f>'1.Pozitia Financiara'!D32</f>
        <v>109140652.72000001</v>
      </c>
      <c r="E17" s="10">
        <f>'1.Pozitia Financiara'!E32</f>
        <v>93141638.680000007</v>
      </c>
      <c r="F17" s="10">
        <f>'1.Pozitia Financiara'!F32</f>
        <v>109877989</v>
      </c>
      <c r="G17" s="10">
        <f>'1.Pozitia Financiara'!G32</f>
        <v>119844460.02</v>
      </c>
      <c r="H17" s="213">
        <f>'1.Pozitia Financiara'!H32</f>
        <v>90318111</v>
      </c>
      <c r="I17" s="216" t="str">
        <f>IF(H17+G17&gt;0,IF(H17&gt;G17,"▲",IF(H17=G17,"▬","▼")),IF(H17&gt;G17,"▼",IF(H17=G17,"▬","▲")))</f>
        <v>▼</v>
      </c>
      <c r="J17" s="217">
        <f t="shared" si="2"/>
        <v>-29526349.019999996</v>
      </c>
      <c r="K17" s="218">
        <f t="shared" si="3"/>
        <v>-0.24637224795432811</v>
      </c>
      <c r="L17" s="53"/>
    </row>
    <row r="18" spans="1:14" ht="14.5" x14ac:dyDescent="0.35">
      <c r="A18" s="211" t="s">
        <v>125</v>
      </c>
      <c r="B18" s="59">
        <f>B17/(B14+B15)</f>
        <v>0.50639405394631021</v>
      </c>
      <c r="C18" s="59">
        <f t="shared" ref="C18:H18" si="11">C17/(C14+C15)</f>
        <v>0.45847529837937478</v>
      </c>
      <c r="D18" s="59">
        <f t="shared" si="11"/>
        <v>0.44330995774583071</v>
      </c>
      <c r="E18" s="59">
        <f t="shared" si="11"/>
        <v>0.40259328059509558</v>
      </c>
      <c r="F18" s="59">
        <f t="shared" si="11"/>
        <v>0.4502774227677922</v>
      </c>
      <c r="G18" s="59">
        <f t="shared" si="11"/>
        <v>0.4279128979148617</v>
      </c>
      <c r="H18" s="215">
        <f t="shared" si="11"/>
        <v>0.37455529389265158</v>
      </c>
      <c r="I18" s="216" t="str">
        <f>IF(H18+G18&gt;0,IF(H18&gt;G18,"▲",IF(H18=G18,"▬","▼")),IF(H18&gt;G18,"▼",IF(H18=G18,"▬","▲")))</f>
        <v>▼</v>
      </c>
      <c r="J18" s="222">
        <f t="shared" ref="J18:J19" si="12">H18-G18</f>
        <v>-5.3357604022210126E-2</v>
      </c>
      <c r="K18" s="218">
        <f t="shared" ref="K18:K19" si="13">H18/G18-1</f>
        <v>-0.12469267526688632</v>
      </c>
      <c r="L18" s="53"/>
    </row>
    <row r="19" spans="1:14" ht="14.5" x14ac:dyDescent="0.35">
      <c r="A19" s="211" t="s">
        <v>126</v>
      </c>
      <c r="B19" s="59">
        <f>'1.Pozitia Financiara'!B16/'1.Pozitia Financiara'!B31</f>
        <v>0.79319678611568922</v>
      </c>
      <c r="C19" s="59">
        <f>'1.Pozitia Financiara'!C16/'1.Pozitia Financiara'!C31</f>
        <v>1.1512145385365147</v>
      </c>
      <c r="D19" s="59">
        <f>'1.Pozitia Financiara'!D16/'1.Pozitia Financiara'!D31</f>
        <v>1.1039275542547775</v>
      </c>
      <c r="E19" s="59">
        <f>'1.Pozitia Financiara'!E16/'1.Pozitia Financiara'!E31</f>
        <v>1.1571444819918941</v>
      </c>
      <c r="F19" s="59">
        <f>'1.Pozitia Financiara'!F16/'1.Pozitia Financiara'!F31</f>
        <v>1.18947280717453</v>
      </c>
      <c r="G19" s="59">
        <f>'1.Pozitia Financiara'!G16/'1.Pozitia Financiara'!G31</f>
        <v>1.4742601822691708</v>
      </c>
      <c r="H19" s="215">
        <f>'1.Pozitia Financiara'!H16/'1.Pozitia Financiara'!H31</f>
        <v>1.7689554765528499</v>
      </c>
      <c r="I19" s="223" t="str">
        <f t="shared" ref="I19" si="14">IF(H19+G19&gt;0,IF(H19&gt;G19,"▲",IF(H19=G19,"▬","▼")),IF(H19&gt;G19,"▼",IF(H19=G19,"▬","▲")))</f>
        <v>▲</v>
      </c>
      <c r="J19" s="222">
        <f t="shared" si="12"/>
        <v>0.29469529428367913</v>
      </c>
      <c r="K19" s="218">
        <f t="shared" si="13"/>
        <v>0.19989368079526249</v>
      </c>
      <c r="L19" s="53"/>
    </row>
    <row r="20" spans="1:14" x14ac:dyDescent="0.35">
      <c r="A20" s="13" t="s">
        <v>184</v>
      </c>
    </row>
    <row r="22" spans="1:14" ht="14.5" x14ac:dyDescent="0.35">
      <c r="B22" s="62"/>
      <c r="C22" s="62"/>
      <c r="D22" s="62"/>
      <c r="E22" s="62"/>
      <c r="F22" s="62"/>
      <c r="G22" s="62"/>
      <c r="H22" s="62"/>
      <c r="I22" s="62"/>
      <c r="L22" s="60"/>
    </row>
    <row r="23" spans="1:14" ht="14.5" x14ac:dyDescent="0.35">
      <c r="A23" s="199" t="s">
        <v>127</v>
      </c>
      <c r="B23" s="199"/>
      <c r="C23" s="199"/>
      <c r="D23" s="199"/>
      <c r="E23" s="199"/>
      <c r="F23" s="199"/>
      <c r="G23" s="199"/>
      <c r="H23" s="199"/>
      <c r="I23" s="199"/>
      <c r="N23" s="60">
        <f>H5/B5-1</f>
        <v>9.7827669897467828E-2</v>
      </c>
    </row>
    <row r="24" spans="1:14" ht="14.5" x14ac:dyDescent="0.35">
      <c r="A24" s="199"/>
      <c r="B24" s="199"/>
      <c r="C24" s="199"/>
      <c r="D24" s="199"/>
      <c r="E24" s="199"/>
      <c r="F24" s="199"/>
      <c r="G24" s="199"/>
      <c r="H24" s="199"/>
      <c r="I24" s="199"/>
    </row>
    <row r="25" spans="1:14" ht="14.5" x14ac:dyDescent="0.35">
      <c r="A25" s="199" t="s">
        <v>128</v>
      </c>
      <c r="B25" s="199"/>
      <c r="C25" s="199"/>
      <c r="D25" s="199"/>
      <c r="E25" s="199"/>
      <c r="F25" s="199"/>
      <c r="G25" s="199"/>
      <c r="H25" s="199"/>
      <c r="I25" s="199"/>
      <c r="J25" s="199"/>
    </row>
    <row r="26" spans="1:14" ht="14.5" x14ac:dyDescent="0.35">
      <c r="A26" s="199"/>
      <c r="B26" s="199"/>
      <c r="C26" s="199"/>
      <c r="D26" s="199"/>
      <c r="E26" s="199"/>
      <c r="F26" s="199"/>
      <c r="G26" s="199"/>
      <c r="H26" s="199"/>
      <c r="I26" s="199"/>
      <c r="J26" s="199"/>
    </row>
    <row r="47" spans="2:8" x14ac:dyDescent="0.35">
      <c r="B47" s="62"/>
      <c r="C47" s="62"/>
      <c r="D47" s="62"/>
      <c r="E47" s="62"/>
      <c r="F47" s="62"/>
      <c r="G47" s="62"/>
      <c r="H47" s="62"/>
    </row>
    <row r="48" spans="2:8" x14ac:dyDescent="0.35">
      <c r="B48" s="62"/>
      <c r="C48" s="62"/>
      <c r="D48" s="62"/>
      <c r="E48" s="62"/>
      <c r="F48" s="62"/>
      <c r="G48" s="62"/>
      <c r="H48" s="62"/>
    </row>
    <row r="49" spans="2:8" x14ac:dyDescent="0.35">
      <c r="B49" s="62"/>
      <c r="C49" s="62"/>
      <c r="D49" s="62"/>
      <c r="E49" s="62"/>
      <c r="F49" s="62"/>
      <c r="G49" s="62"/>
      <c r="H49" s="62"/>
    </row>
    <row r="50" spans="2:8" x14ac:dyDescent="0.35">
      <c r="B50" s="62"/>
      <c r="C50" s="62"/>
      <c r="D50" s="62"/>
      <c r="E50" s="62"/>
      <c r="F50" s="62"/>
      <c r="G50" s="62"/>
      <c r="H50" s="62"/>
    </row>
    <row r="51" spans="2:8" x14ac:dyDescent="0.35">
      <c r="B51" s="62"/>
      <c r="C51" s="62"/>
      <c r="D51" s="62"/>
      <c r="E51" s="62"/>
      <c r="F51" s="62"/>
      <c r="G51" s="62"/>
      <c r="H51" s="62"/>
    </row>
    <row r="52" spans="2:8" x14ac:dyDescent="0.35">
      <c r="B52" s="62"/>
      <c r="C52" s="62"/>
      <c r="D52" s="62"/>
      <c r="E52" s="62"/>
      <c r="F52" s="62"/>
      <c r="G52" s="62"/>
      <c r="H52" s="62"/>
    </row>
    <row r="53" spans="2:8" x14ac:dyDescent="0.35">
      <c r="B53" s="62"/>
      <c r="C53" s="62"/>
      <c r="D53" s="62"/>
      <c r="E53" s="62"/>
      <c r="F53" s="62"/>
      <c r="G53" s="62"/>
      <c r="H53" s="62"/>
    </row>
    <row r="54" spans="2:8" x14ac:dyDescent="0.35">
      <c r="B54" s="62"/>
      <c r="C54" s="62"/>
      <c r="D54" s="62"/>
      <c r="E54" s="62"/>
      <c r="F54" s="62"/>
      <c r="G54" s="62"/>
      <c r="H54" s="62"/>
    </row>
    <row r="55" spans="2:8" x14ac:dyDescent="0.35">
      <c r="B55" s="62"/>
      <c r="C55" s="62"/>
      <c r="D55" s="62"/>
      <c r="E55" s="62"/>
      <c r="F55" s="62"/>
      <c r="G55" s="62"/>
      <c r="H55" s="62"/>
    </row>
    <row r="56" spans="2:8" x14ac:dyDescent="0.35">
      <c r="B56" s="62"/>
      <c r="C56" s="62"/>
      <c r="D56" s="62"/>
      <c r="E56" s="62"/>
      <c r="F56" s="62"/>
      <c r="G56" s="62"/>
      <c r="H56" s="62"/>
    </row>
    <row r="57" spans="2:8" x14ac:dyDescent="0.35">
      <c r="B57" s="62"/>
      <c r="C57" s="62"/>
      <c r="D57" s="62"/>
      <c r="E57" s="62"/>
      <c r="F57" s="62"/>
      <c r="G57" s="62"/>
      <c r="H57" s="62"/>
    </row>
    <row r="58" spans="2:8" x14ac:dyDescent="0.35">
      <c r="B58" s="62"/>
      <c r="C58" s="62"/>
      <c r="D58" s="62"/>
      <c r="E58" s="62"/>
      <c r="F58" s="62"/>
      <c r="G58" s="62"/>
      <c r="H58" s="62"/>
    </row>
    <row r="59" spans="2:8" x14ac:dyDescent="0.35">
      <c r="B59" s="62"/>
      <c r="C59" s="62"/>
      <c r="D59" s="62"/>
      <c r="E59" s="62"/>
      <c r="F59" s="62"/>
      <c r="G59" s="62"/>
      <c r="H59" s="62"/>
    </row>
    <row r="60" spans="2:8" x14ac:dyDescent="0.35">
      <c r="B60" s="62"/>
      <c r="C60" s="62"/>
      <c r="D60" s="62"/>
      <c r="E60" s="62"/>
      <c r="F60" s="62"/>
      <c r="G60" s="62"/>
      <c r="H60" s="62"/>
    </row>
    <row r="61" spans="2:8" x14ac:dyDescent="0.35">
      <c r="B61" s="62"/>
      <c r="C61" s="62"/>
      <c r="D61" s="62"/>
      <c r="E61" s="62"/>
      <c r="F61" s="62"/>
      <c r="G61" s="62"/>
      <c r="H61" s="62"/>
    </row>
    <row r="62" spans="2:8" x14ac:dyDescent="0.35">
      <c r="B62" s="62"/>
      <c r="C62" s="62"/>
      <c r="D62" s="62"/>
      <c r="E62" s="62"/>
      <c r="F62" s="62"/>
      <c r="G62" s="62"/>
      <c r="H62" s="62"/>
    </row>
    <row r="63" spans="2:8" x14ac:dyDescent="0.35">
      <c r="B63" s="62"/>
      <c r="C63" s="62"/>
      <c r="D63" s="62"/>
      <c r="E63" s="62"/>
      <c r="F63" s="62"/>
      <c r="G63" s="62"/>
      <c r="H63" s="62"/>
    </row>
  </sheetData>
  <mergeCells count="3">
    <mergeCell ref="I4:K4"/>
    <mergeCell ref="A23:I24"/>
    <mergeCell ref="A25:J26"/>
  </mergeCells>
  <conditionalFormatting sqref="I5:I16">
    <cfRule type="expression" dxfId="37" priority="2">
      <formula>H5&lt;G5</formula>
    </cfRule>
    <cfRule type="expression" dxfId="36" priority="3">
      <formula>H5&gt;G5</formula>
    </cfRule>
  </conditionalFormatting>
  <conditionalFormatting sqref="I5:I19">
    <cfRule type="expression" dxfId="35" priority="1">
      <formula>H5=G5</formula>
    </cfRule>
  </conditionalFormatting>
  <conditionalFormatting sqref="I17:I18">
    <cfRule type="expression" dxfId="34" priority="85">
      <formula>H17&gt;G17</formula>
    </cfRule>
    <cfRule type="expression" dxfId="33" priority="86">
      <formula>H1&lt;G17</formula>
    </cfRule>
  </conditionalFormatting>
  <conditionalFormatting sqref="I19">
    <cfRule type="expression" dxfId="32" priority="11">
      <formula>H19&lt;G19</formula>
    </cfRule>
    <cfRule type="expression" dxfId="31" priority="12">
      <formula>H19&gt;G19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54"/>
  <sheetViews>
    <sheetView showGridLines="0" zoomScale="90" zoomScaleNormal="90" workbookViewId="0">
      <pane xSplit="1" ySplit="3" topLeftCell="B21" activePane="bottomRight" state="frozen"/>
      <selection pane="topRight" activeCell="C1" sqref="C1"/>
      <selection pane="bottomLeft" activeCell="A5" sqref="A5"/>
      <selection pane="bottomRight" activeCell="H4" sqref="H4:H33"/>
    </sheetView>
  </sheetViews>
  <sheetFormatPr defaultColWidth="9.08984375" defaultRowHeight="14.5" x14ac:dyDescent="0.35"/>
  <cols>
    <col min="1" max="1" width="60.36328125" style="1" bestFit="1" customWidth="1"/>
    <col min="2" max="2" width="14.08984375" style="1" customWidth="1"/>
    <col min="3" max="7" width="13.08984375" style="1" bestFit="1" customWidth="1"/>
    <col min="8" max="8" width="12.6328125" style="1" bestFit="1" customWidth="1"/>
    <col min="9" max="9" width="10.54296875" style="1" bestFit="1" customWidth="1"/>
    <col min="10" max="10" width="11" style="1" bestFit="1" customWidth="1"/>
    <col min="11" max="11" width="3" style="1" bestFit="1" customWidth="1"/>
    <col min="12" max="12" width="8.36328125" style="1" bestFit="1" customWidth="1"/>
    <col min="13" max="13" width="9.08984375" style="1"/>
    <col min="14" max="14" width="13.6328125" style="1" bestFit="1" customWidth="1"/>
    <col min="15" max="15" width="11.90625" style="1" bestFit="1" customWidth="1"/>
    <col min="16" max="16" width="12.08984375" style="1" bestFit="1" customWidth="1"/>
    <col min="17" max="16384" width="9.08984375" style="1"/>
  </cols>
  <sheetData>
    <row r="2" spans="1:16" x14ac:dyDescent="0.35">
      <c r="H2" s="40"/>
    </row>
    <row r="3" spans="1:16" ht="43.5" customHeight="1" x14ac:dyDescent="0.35">
      <c r="A3" s="67" t="s">
        <v>0</v>
      </c>
      <c r="B3" s="166">
        <v>2017</v>
      </c>
      <c r="C3" s="166">
        <f t="shared" ref="C3" si="0">B3+1</f>
        <v>2018</v>
      </c>
      <c r="D3" s="166">
        <f t="shared" ref="D3" si="1">C3+1</f>
        <v>2019</v>
      </c>
      <c r="E3" s="166">
        <f t="shared" ref="E3" si="2">D3+1</f>
        <v>2020</v>
      </c>
      <c r="F3" s="166">
        <f t="shared" ref="F3" si="3">E3+1</f>
        <v>2021</v>
      </c>
      <c r="G3" s="166">
        <f t="shared" ref="G3" si="4">F3+1</f>
        <v>2022</v>
      </c>
      <c r="H3" s="166">
        <f t="shared" ref="H3" si="5">G3+1</f>
        <v>2023</v>
      </c>
      <c r="I3" s="167" t="s">
        <v>181</v>
      </c>
      <c r="J3" s="201" t="str">
        <f>CONCATENATE(H3," vs. ",G3)</f>
        <v>2023 vs. 2022</v>
      </c>
      <c r="K3" s="201"/>
      <c r="L3" s="201"/>
    </row>
    <row r="4" spans="1:16" x14ac:dyDescent="0.35">
      <c r="A4" s="2" t="s">
        <v>1</v>
      </c>
      <c r="B4" s="10">
        <v>137757934.98000002</v>
      </c>
      <c r="C4" s="10">
        <v>130049722.92</v>
      </c>
      <c r="D4" s="10">
        <v>122648083.71000001</v>
      </c>
      <c r="E4" s="10">
        <v>113644666.37</v>
      </c>
      <c r="F4" s="10">
        <v>106567874</v>
      </c>
      <c r="G4" s="10">
        <v>102490667</v>
      </c>
      <c r="H4" s="10">
        <v>106808714</v>
      </c>
      <c r="I4" s="168">
        <f>H4/$H$17</f>
        <v>0.44294293602493712</v>
      </c>
      <c r="J4" s="169">
        <f>H4-G4</f>
        <v>4318047</v>
      </c>
      <c r="K4" s="168" t="str">
        <f>IF(H4&gt;G4,"▲",IF(H4=G4,"▬","▼"))</f>
        <v>▲</v>
      </c>
      <c r="L4" s="168">
        <f>H4/G4-100%</f>
        <v>4.2131123997856346E-2</v>
      </c>
      <c r="N4" s="44"/>
    </row>
    <row r="5" spans="1:16" x14ac:dyDescent="0.35">
      <c r="A5" s="5" t="s">
        <v>2</v>
      </c>
      <c r="B5" s="170">
        <v>49859449.159999996</v>
      </c>
      <c r="C5" s="170">
        <v>18033514.940000001</v>
      </c>
      <c r="D5" s="170">
        <v>13432444</v>
      </c>
      <c r="E5" s="170">
        <v>11885345.9</v>
      </c>
      <c r="F5" s="170">
        <v>10894586</v>
      </c>
      <c r="G5" s="170">
        <v>9883738</v>
      </c>
      <c r="H5" s="170">
        <v>10857912</v>
      </c>
      <c r="I5" s="168">
        <f t="shared" ref="I5:I33" si="6">H5/$H$17</f>
        <v>4.502849290349472E-2</v>
      </c>
      <c r="J5" s="169">
        <f t="shared" ref="J5:J33" si="7">H5-G5</f>
        <v>974174</v>
      </c>
      <c r="K5" s="168" t="str">
        <f t="shared" ref="K5:K33" si="8">IF(H5&gt;G5,"▲",IF(H5=G5,"▬","▼"))</f>
        <v>▲</v>
      </c>
      <c r="L5" s="168">
        <f t="shared" ref="L5:L33" si="9">H5/G5-100%</f>
        <v>9.8563316834177517E-2</v>
      </c>
      <c r="N5" s="44"/>
    </row>
    <row r="6" spans="1:16" x14ac:dyDescent="0.35">
      <c r="A6" s="2" t="s">
        <v>3</v>
      </c>
      <c r="B6" s="10">
        <v>160081.2200000002</v>
      </c>
      <c r="C6" s="10">
        <v>78268.589999999967</v>
      </c>
      <c r="D6" s="10">
        <v>314136.3200000003</v>
      </c>
      <c r="E6" s="10">
        <v>302737.3899999999</v>
      </c>
      <c r="F6" s="10">
        <v>294483</v>
      </c>
      <c r="G6" s="10">
        <v>330920</v>
      </c>
      <c r="H6" s="10">
        <v>809485</v>
      </c>
      <c r="I6" s="168">
        <f t="shared" si="6"/>
        <v>3.3569888554986836E-3</v>
      </c>
      <c r="J6" s="169">
        <f t="shared" si="7"/>
        <v>478565</v>
      </c>
      <c r="K6" s="168" t="str">
        <f t="shared" si="8"/>
        <v>▲</v>
      </c>
      <c r="L6" s="168">
        <f t="shared" si="9"/>
        <v>1.446165236310891</v>
      </c>
      <c r="N6" s="44"/>
    </row>
    <row r="7" spans="1:16" ht="15" thickBot="1" x14ac:dyDescent="0.4">
      <c r="A7" s="2" t="s">
        <v>4</v>
      </c>
      <c r="B7" s="10">
        <v>22247180.900000002</v>
      </c>
      <c r="C7" s="10">
        <v>22247180.900000002</v>
      </c>
      <c r="D7" s="10">
        <v>27085580.900000002</v>
      </c>
      <c r="E7" s="10">
        <v>27085181.400000002</v>
      </c>
      <c r="F7" s="10">
        <v>20607559</v>
      </c>
      <c r="G7" s="10">
        <v>20608559</v>
      </c>
      <c r="H7" s="10">
        <v>460594</v>
      </c>
      <c r="I7" s="168">
        <f t="shared" si="6"/>
        <v>1.9101143627239055E-3</v>
      </c>
      <c r="J7" s="169">
        <f t="shared" si="7"/>
        <v>-20147965</v>
      </c>
      <c r="K7" s="168" t="str">
        <f t="shared" si="8"/>
        <v>▼</v>
      </c>
      <c r="L7" s="168">
        <f t="shared" si="9"/>
        <v>-0.97765035391363364</v>
      </c>
      <c r="N7" s="44"/>
    </row>
    <row r="8" spans="1:16" ht="15" thickBot="1" x14ac:dyDescent="0.4">
      <c r="A8" s="6" t="s">
        <v>80</v>
      </c>
      <c r="B8" s="171">
        <f>SUM(B4:B7)</f>
        <v>210024646.26000002</v>
      </c>
      <c r="C8" s="171">
        <f>SUM(C4:C7)</f>
        <v>170408687.35000002</v>
      </c>
      <c r="D8" s="171">
        <f>SUM(D4:D7)</f>
        <v>163480244.93000001</v>
      </c>
      <c r="E8" s="171">
        <f>SUM(E4:E7)-1</f>
        <v>152917930.06</v>
      </c>
      <c r="F8" s="171">
        <f>SUM(F4:F7)</f>
        <v>138364502</v>
      </c>
      <c r="G8" s="171">
        <f>SUM(G4:G7)</f>
        <v>133313884</v>
      </c>
      <c r="H8" s="171">
        <f>SUM(H4:H7)</f>
        <v>118936705</v>
      </c>
      <c r="I8" s="172">
        <f t="shared" si="6"/>
        <v>0.49323853214665442</v>
      </c>
      <c r="J8" s="171">
        <f t="shared" si="7"/>
        <v>-14377179</v>
      </c>
      <c r="K8" s="173" t="str">
        <f t="shared" si="8"/>
        <v>▼</v>
      </c>
      <c r="L8" s="172">
        <f t="shared" si="9"/>
        <v>-0.1078445737879784</v>
      </c>
      <c r="N8" s="44"/>
    </row>
    <row r="9" spans="1:16" x14ac:dyDescent="0.35">
      <c r="A9" s="2" t="s">
        <v>144</v>
      </c>
      <c r="B9" s="10">
        <v>23824914.340000004</v>
      </c>
      <c r="C9" s="10">
        <v>20695919.009999998</v>
      </c>
      <c r="D9" s="10">
        <v>25346354.789999992</v>
      </c>
      <c r="E9" s="10">
        <v>22285772.819999997</v>
      </c>
      <c r="F9" s="10">
        <v>27647514</v>
      </c>
      <c r="G9" s="10">
        <v>29963708</v>
      </c>
      <c r="H9" s="10">
        <v>30951095</v>
      </c>
      <c r="I9" s="168">
        <f t="shared" si="6"/>
        <v>0.1283562771150559</v>
      </c>
      <c r="J9" s="169">
        <f t="shared" si="7"/>
        <v>987387</v>
      </c>
      <c r="K9" s="168" t="str">
        <f t="shared" si="8"/>
        <v>▲</v>
      </c>
      <c r="L9" s="168">
        <f t="shared" si="9"/>
        <v>3.2952764057105455E-2</v>
      </c>
      <c r="N9" s="44"/>
      <c r="O9" s="15"/>
      <c r="P9" s="15"/>
    </row>
    <row r="10" spans="1:16" x14ac:dyDescent="0.35">
      <c r="A10" s="2" t="s">
        <v>5</v>
      </c>
      <c r="B10" s="10">
        <v>32493265.919999998</v>
      </c>
      <c r="C10" s="10">
        <v>35722416.399999999</v>
      </c>
      <c r="D10" s="10">
        <v>45865813.140000001</v>
      </c>
      <c r="E10" s="10">
        <v>36839898.379999995</v>
      </c>
      <c r="F10" s="10">
        <v>57999727</v>
      </c>
      <c r="G10" s="10">
        <v>63653763</v>
      </c>
      <c r="H10" s="10">
        <v>55388563</v>
      </c>
      <c r="I10" s="168">
        <f t="shared" si="6"/>
        <v>0.22970010403291813</v>
      </c>
      <c r="J10" s="169">
        <f t="shared" si="7"/>
        <v>-8265200</v>
      </c>
      <c r="K10" s="168" t="str">
        <f t="shared" si="8"/>
        <v>▼</v>
      </c>
      <c r="L10" s="168">
        <f t="shared" si="9"/>
        <v>-0.12984621191994572</v>
      </c>
      <c r="N10" s="44"/>
    </row>
    <row r="11" spans="1:16" x14ac:dyDescent="0.35">
      <c r="A11" s="2" t="s">
        <v>145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68">
        <f t="shared" si="6"/>
        <v>0</v>
      </c>
      <c r="J11" s="169">
        <f t="shared" si="7"/>
        <v>0</v>
      </c>
      <c r="K11" s="168" t="str">
        <f t="shared" si="8"/>
        <v>▬</v>
      </c>
      <c r="L11" s="168" t="e">
        <f t="shared" si="9"/>
        <v>#DIV/0!</v>
      </c>
      <c r="N11" s="44"/>
    </row>
    <row r="12" spans="1:16" x14ac:dyDescent="0.35">
      <c r="A12" s="8" t="s">
        <v>146</v>
      </c>
      <c r="B12" s="174">
        <v>0</v>
      </c>
      <c r="C12" s="174">
        <v>6174451.7800000003</v>
      </c>
      <c r="D12" s="174">
        <v>335912.13</v>
      </c>
      <c r="E12" s="174">
        <v>570774.49</v>
      </c>
      <c r="F12" s="174">
        <v>1265317</v>
      </c>
      <c r="G12" s="174">
        <v>42738851</v>
      </c>
      <c r="H12" s="174">
        <v>5929217</v>
      </c>
      <c r="I12" s="168">
        <f t="shared" si="6"/>
        <v>2.4588862537086344E-2</v>
      </c>
      <c r="J12" s="169">
        <f t="shared" si="7"/>
        <v>-36809634</v>
      </c>
      <c r="K12" s="168" t="str">
        <f t="shared" si="8"/>
        <v>▼</v>
      </c>
      <c r="L12" s="168">
        <f t="shared" si="9"/>
        <v>-0.86126868501916443</v>
      </c>
      <c r="N12" s="44"/>
    </row>
    <row r="13" spans="1:16" x14ac:dyDescent="0.35">
      <c r="A13" s="2" t="s">
        <v>147</v>
      </c>
      <c r="B13" s="10">
        <v>820244.87</v>
      </c>
      <c r="C13" s="10">
        <v>1007912.76</v>
      </c>
      <c r="D13" s="10">
        <v>1249969.46</v>
      </c>
      <c r="E13" s="10">
        <v>1080363.21</v>
      </c>
      <c r="F13" s="10">
        <v>2187278</v>
      </c>
      <c r="G13" s="10">
        <v>3864347</v>
      </c>
      <c r="H13" s="10">
        <v>546176</v>
      </c>
      <c r="I13" s="168">
        <f t="shared" si="6"/>
        <v>2.2650286850785981E-3</v>
      </c>
      <c r="J13" s="169">
        <f t="shared" si="7"/>
        <v>-3318171</v>
      </c>
      <c r="K13" s="168" t="str">
        <f t="shared" si="8"/>
        <v>▼</v>
      </c>
      <c r="L13" s="168"/>
      <c r="N13" s="44"/>
    </row>
    <row r="14" spans="1:16" x14ac:dyDescent="0.35">
      <c r="A14" s="2" t="s">
        <v>148</v>
      </c>
      <c r="B14" s="10">
        <v>2529017.4600000004</v>
      </c>
      <c r="C14" s="10">
        <v>3331010.5100000002</v>
      </c>
      <c r="D14" s="10">
        <v>5549445.1199999992</v>
      </c>
      <c r="E14" s="10">
        <v>17588598.129999999</v>
      </c>
      <c r="F14" s="10">
        <v>12798377</v>
      </c>
      <c r="G14" s="10">
        <v>2772709</v>
      </c>
      <c r="H14" s="10">
        <v>29382497</v>
      </c>
      <c r="I14" s="168">
        <f t="shared" si="6"/>
        <v>0.12185119548320661</v>
      </c>
      <c r="J14" s="169">
        <f t="shared" si="7"/>
        <v>26609788</v>
      </c>
      <c r="K14" s="168" t="str">
        <f t="shared" si="8"/>
        <v>▲</v>
      </c>
      <c r="L14" s="168">
        <f t="shared" si="9"/>
        <v>9.5970359673517844</v>
      </c>
      <c r="N14" s="44"/>
    </row>
    <row r="15" spans="1:16" ht="15" thickBot="1" x14ac:dyDescent="0.4">
      <c r="A15" s="2" t="s">
        <v>149</v>
      </c>
      <c r="B15" s="10">
        <v>0</v>
      </c>
      <c r="C15" s="10">
        <v>16000390.43</v>
      </c>
      <c r="D15" s="10">
        <v>4367165.95</v>
      </c>
      <c r="E15" s="10">
        <v>70844.84</v>
      </c>
      <c r="F15" s="10">
        <v>3760155</v>
      </c>
      <c r="G15" s="10">
        <v>3760155</v>
      </c>
      <c r="H15" s="10">
        <v>0</v>
      </c>
      <c r="I15" s="168">
        <f t="shared" si="6"/>
        <v>0</v>
      </c>
      <c r="J15" s="169">
        <f t="shared" si="7"/>
        <v>-3760155</v>
      </c>
      <c r="K15" s="168" t="str">
        <f t="shared" si="8"/>
        <v>▼</v>
      </c>
      <c r="L15" s="168">
        <f t="shared" si="9"/>
        <v>-1</v>
      </c>
      <c r="N15" s="44"/>
    </row>
    <row r="16" spans="1:16" ht="15" thickBot="1" x14ac:dyDescent="0.4">
      <c r="A16" s="6" t="s">
        <v>81</v>
      </c>
      <c r="B16" s="171">
        <f>SUM(B9:B15)</f>
        <v>59667442.590000004</v>
      </c>
      <c r="C16" s="171">
        <f>SUM(C9:C15)</f>
        <v>82932100.889999986</v>
      </c>
      <c r="D16" s="171">
        <f>SUM(D9:D15)-1</f>
        <v>82714659.589999989</v>
      </c>
      <c r="E16" s="171">
        <f>SUM(E9:E15)-1</f>
        <v>78436250.86999999</v>
      </c>
      <c r="F16" s="171">
        <f>SUM(F9:F15)</f>
        <v>105658368</v>
      </c>
      <c r="G16" s="171">
        <f>SUM(G9:G15)</f>
        <v>146753533</v>
      </c>
      <c r="H16" s="171">
        <f>SUM(H9:H15)</f>
        <v>122197548</v>
      </c>
      <c r="I16" s="172">
        <f t="shared" si="6"/>
        <v>0.50676146785334553</v>
      </c>
      <c r="J16" s="171">
        <f t="shared" si="7"/>
        <v>-24555985</v>
      </c>
      <c r="K16" s="173" t="str">
        <f t="shared" si="8"/>
        <v>▼</v>
      </c>
      <c r="L16" s="172">
        <f t="shared" si="9"/>
        <v>-0.16732806698425451</v>
      </c>
      <c r="N16" s="44"/>
    </row>
    <row r="17" spans="1:16" ht="15" thickBot="1" x14ac:dyDescent="0.4">
      <c r="A17" s="6" t="s">
        <v>6</v>
      </c>
      <c r="B17" s="171">
        <f t="shared" ref="B17:G17" si="10">B16+B8</f>
        <v>269692088.85000002</v>
      </c>
      <c r="C17" s="171">
        <f t="shared" si="10"/>
        <v>253340788.24000001</v>
      </c>
      <c r="D17" s="171">
        <f t="shared" si="10"/>
        <v>246194904.51999998</v>
      </c>
      <c r="E17" s="171">
        <f t="shared" si="10"/>
        <v>231354180.93000001</v>
      </c>
      <c r="F17" s="171">
        <f t="shared" si="10"/>
        <v>244022870</v>
      </c>
      <c r="G17" s="171">
        <f t="shared" si="10"/>
        <v>280067417</v>
      </c>
      <c r="H17" s="171">
        <f t="shared" ref="H17" si="11">H16+H8</f>
        <v>241134253</v>
      </c>
      <c r="I17" s="172">
        <f t="shared" si="6"/>
        <v>1</v>
      </c>
      <c r="J17" s="171">
        <f t="shared" si="7"/>
        <v>-38933164</v>
      </c>
      <c r="K17" s="173" t="str">
        <f t="shared" si="8"/>
        <v>▼</v>
      </c>
      <c r="L17" s="172">
        <f t="shared" si="9"/>
        <v>-0.13901354329982629</v>
      </c>
      <c r="N17" s="44"/>
    </row>
    <row r="18" spans="1:16" x14ac:dyDescent="0.35">
      <c r="A18" s="2" t="s">
        <v>7</v>
      </c>
      <c r="B18" s="10">
        <v>26412209.600000001</v>
      </c>
      <c r="C18" s="10">
        <v>26412209.600000001</v>
      </c>
      <c r="D18" s="10">
        <v>26412209.600000001</v>
      </c>
      <c r="E18" s="10">
        <v>26412209.600000001</v>
      </c>
      <c r="F18" s="10">
        <v>26412210</v>
      </c>
      <c r="G18" s="10">
        <v>26412210</v>
      </c>
      <c r="H18" s="10">
        <v>52824419</v>
      </c>
      <c r="I18" s="168">
        <f t="shared" si="6"/>
        <v>0.2190664260377807</v>
      </c>
      <c r="J18" s="169">
        <f t="shared" si="7"/>
        <v>26412209</v>
      </c>
      <c r="K18" s="168" t="str">
        <f t="shared" si="8"/>
        <v>▲</v>
      </c>
      <c r="L18" s="168">
        <f t="shared" si="9"/>
        <v>0.999999962138723</v>
      </c>
      <c r="N18" s="44"/>
    </row>
    <row r="19" spans="1:16" x14ac:dyDescent="0.35">
      <c r="A19" s="2" t="s">
        <v>8</v>
      </c>
      <c r="B19" s="10">
        <v>2182283.29</v>
      </c>
      <c r="C19" s="10">
        <v>2182283.29</v>
      </c>
      <c r="D19" s="10">
        <v>2182283.29</v>
      </c>
      <c r="E19" s="10">
        <v>2182283.29</v>
      </c>
      <c r="F19" s="10">
        <v>2182283</v>
      </c>
      <c r="G19" s="10">
        <v>2182283</v>
      </c>
      <c r="H19" s="10">
        <v>2182283</v>
      </c>
      <c r="I19" s="168">
        <f t="shared" si="6"/>
        <v>9.0500746901353742E-3</v>
      </c>
      <c r="J19" s="169">
        <f t="shared" si="7"/>
        <v>0</v>
      </c>
      <c r="K19" s="168" t="str">
        <f t="shared" si="8"/>
        <v>▬</v>
      </c>
      <c r="L19" s="168">
        <f t="shared" si="9"/>
        <v>0</v>
      </c>
      <c r="N19" s="44"/>
      <c r="O19" s="44"/>
      <c r="P19" s="44"/>
    </row>
    <row r="20" spans="1:16" x14ac:dyDescent="0.35">
      <c r="A20" s="2" t="s">
        <v>9</v>
      </c>
      <c r="B20" s="10">
        <v>53222860.280000001</v>
      </c>
      <c r="C20" s="10">
        <v>58492791.739999995</v>
      </c>
      <c r="D20" s="10">
        <v>58845304.939999998</v>
      </c>
      <c r="E20" s="10">
        <v>59466596.82</v>
      </c>
      <c r="F20" s="10">
        <v>58542209</v>
      </c>
      <c r="G20" s="10">
        <v>60895474.780000001</v>
      </c>
      <c r="H20" s="10">
        <v>63215703</v>
      </c>
      <c r="I20" s="168">
        <f t="shared" si="6"/>
        <v>0.26215978117385091</v>
      </c>
      <c r="J20" s="169">
        <f t="shared" si="7"/>
        <v>2320228.2199999988</v>
      </c>
      <c r="K20" s="168" t="str">
        <f t="shared" si="8"/>
        <v>▲</v>
      </c>
      <c r="L20" s="168">
        <f t="shared" si="9"/>
        <v>3.8101816734041449E-2</v>
      </c>
      <c r="N20" s="44"/>
    </row>
    <row r="21" spans="1:16" ht="15" thickBot="1" x14ac:dyDescent="0.4">
      <c r="A21" s="2" t="s">
        <v>10</v>
      </c>
      <c r="B21" s="10">
        <v>51304265.629999995</v>
      </c>
      <c r="C21" s="10">
        <v>50103010.130000003</v>
      </c>
      <c r="D21" s="10">
        <v>49614453.969999999</v>
      </c>
      <c r="E21" s="10">
        <v>50151452.529999994</v>
      </c>
      <c r="F21" s="10">
        <v>47008179</v>
      </c>
      <c r="G21" s="10">
        <v>70732989.219999999</v>
      </c>
      <c r="H21" s="10">
        <v>32593737</v>
      </c>
      <c r="I21" s="168">
        <f t="shared" si="6"/>
        <v>0.13516842420558145</v>
      </c>
      <c r="J21" s="169">
        <f t="shared" si="7"/>
        <v>-38139252.219999999</v>
      </c>
      <c r="K21" s="168" t="str">
        <f t="shared" si="8"/>
        <v>▼</v>
      </c>
      <c r="L21" s="168">
        <f t="shared" si="9"/>
        <v>-0.53920034541981421</v>
      </c>
      <c r="N21" s="44"/>
    </row>
    <row r="22" spans="1:16" ht="15" thickBot="1" x14ac:dyDescent="0.4">
      <c r="A22" s="6" t="s">
        <v>82</v>
      </c>
      <c r="B22" s="171">
        <f t="shared" ref="B22:G22" si="12">SUM(B18:B21)</f>
        <v>133121618.8</v>
      </c>
      <c r="C22" s="171">
        <f t="shared" si="12"/>
        <v>137190294.75999999</v>
      </c>
      <c r="D22" s="171">
        <f t="shared" si="12"/>
        <v>137054251.80000001</v>
      </c>
      <c r="E22" s="171">
        <f t="shared" si="12"/>
        <v>138212542.24000001</v>
      </c>
      <c r="F22" s="171">
        <f t="shared" si="12"/>
        <v>134144881</v>
      </c>
      <c r="G22" s="171">
        <f t="shared" si="12"/>
        <v>160222957</v>
      </c>
      <c r="H22" s="171">
        <f t="shared" ref="H22" si="13">SUM(H18:H21)</f>
        <v>150816142</v>
      </c>
      <c r="I22" s="172">
        <f t="shared" si="6"/>
        <v>0.62544470610734837</v>
      </c>
      <c r="J22" s="171">
        <f t="shared" si="7"/>
        <v>-9406815</v>
      </c>
      <c r="K22" s="173" t="str">
        <f t="shared" si="8"/>
        <v>▼</v>
      </c>
      <c r="L22" s="172">
        <f t="shared" si="9"/>
        <v>-5.8710781376978383E-2</v>
      </c>
      <c r="N22" s="44"/>
    </row>
    <row r="23" spans="1:16" x14ac:dyDescent="0.35">
      <c r="A23" s="2" t="s">
        <v>150</v>
      </c>
      <c r="B23" s="10">
        <v>0</v>
      </c>
      <c r="C23" s="10">
        <v>0</v>
      </c>
      <c r="D23" s="10">
        <v>0</v>
      </c>
      <c r="E23" s="10">
        <v>200000</v>
      </c>
      <c r="F23" s="10">
        <v>400000</v>
      </c>
      <c r="G23" s="10">
        <v>1000000</v>
      </c>
      <c r="H23" s="10">
        <v>1117000</v>
      </c>
      <c r="I23" s="168">
        <f t="shared" si="6"/>
        <v>4.6322742874692294E-3</v>
      </c>
      <c r="J23" s="169">
        <f t="shared" si="7"/>
        <v>117000</v>
      </c>
      <c r="K23" s="168" t="str">
        <f t="shared" si="8"/>
        <v>▲</v>
      </c>
      <c r="L23" s="168">
        <f t="shared" si="9"/>
        <v>0.11699999999999999</v>
      </c>
      <c r="N23" s="44"/>
    </row>
    <row r="24" spans="1:16" x14ac:dyDescent="0.35">
      <c r="A24" s="2" t="s">
        <v>151</v>
      </c>
      <c r="B24" s="10">
        <v>10758395</v>
      </c>
      <c r="C24" s="10">
        <v>8902075</v>
      </c>
      <c r="D24" s="10">
        <v>8368626</v>
      </c>
      <c r="E24" s="10">
        <v>7857468</v>
      </c>
      <c r="F24" s="10">
        <v>8012574</v>
      </c>
      <c r="G24" s="10">
        <v>7780659</v>
      </c>
      <c r="H24" s="10">
        <v>7477700</v>
      </c>
      <c r="I24" s="168">
        <f t="shared" si="6"/>
        <v>3.1010525908154576E-2</v>
      </c>
      <c r="J24" s="169">
        <f t="shared" si="7"/>
        <v>-302959</v>
      </c>
      <c r="K24" s="168" t="str">
        <f t="shared" si="8"/>
        <v>▼</v>
      </c>
      <c r="L24" s="168"/>
      <c r="N24" s="44"/>
    </row>
    <row r="25" spans="1:16" x14ac:dyDescent="0.35">
      <c r="A25" s="2" t="s">
        <v>172</v>
      </c>
      <c r="B25" s="10">
        <v>32911592</v>
      </c>
      <c r="C25" s="10">
        <v>19796325.030000001</v>
      </c>
      <c r="D25" s="10">
        <v>12705852</v>
      </c>
      <c r="E25" s="10">
        <v>6420472.3300000001</v>
      </c>
      <c r="F25" s="10">
        <v>4017590</v>
      </c>
      <c r="G25" s="10">
        <v>4044764</v>
      </c>
      <c r="H25" s="10">
        <v>7283273</v>
      </c>
      <c r="I25" s="168">
        <f t="shared" si="6"/>
        <v>3.0204224034484226E-2</v>
      </c>
      <c r="J25" s="169">
        <f t="shared" si="7"/>
        <v>3238509</v>
      </c>
      <c r="K25" s="168" t="str">
        <f t="shared" si="8"/>
        <v>▲</v>
      </c>
      <c r="L25" s="168">
        <f t="shared" si="9"/>
        <v>0.80066698576233364</v>
      </c>
      <c r="N25" s="44"/>
    </row>
    <row r="26" spans="1:16" ht="15" thickBot="1" x14ac:dyDescent="0.4">
      <c r="A26" s="2" t="s">
        <v>153</v>
      </c>
      <c r="B26" s="10">
        <v>17676473.670000002</v>
      </c>
      <c r="C26" s="10">
        <v>15413304.75</v>
      </c>
      <c r="D26" s="10">
        <v>13138558.98</v>
      </c>
      <c r="E26" s="10">
        <v>10879379.199999999</v>
      </c>
      <c r="F26" s="10">
        <v>8619928</v>
      </c>
      <c r="G26" s="10">
        <v>7475188</v>
      </c>
      <c r="H26" s="10">
        <v>5361210</v>
      </c>
      <c r="I26" s="168">
        <f t="shared" si="6"/>
        <v>2.223329922356572E-2</v>
      </c>
      <c r="J26" s="169">
        <f t="shared" si="7"/>
        <v>-2113978</v>
      </c>
      <c r="K26" s="168" t="str">
        <f t="shared" si="8"/>
        <v>▼</v>
      </c>
      <c r="L26" s="168">
        <f t="shared" si="9"/>
        <v>-0.28279930886019189</v>
      </c>
      <c r="N26" s="44"/>
    </row>
    <row r="27" spans="1:16" ht="15" thickBot="1" x14ac:dyDescent="0.4">
      <c r="A27" s="6" t="s">
        <v>86</v>
      </c>
      <c r="B27" s="171">
        <f t="shared" ref="B27:G27" si="14">SUM(B23:B26)</f>
        <v>61346460.670000002</v>
      </c>
      <c r="C27" s="171">
        <f t="shared" si="14"/>
        <v>44111704.780000001</v>
      </c>
      <c r="D27" s="171">
        <f t="shared" si="14"/>
        <v>34213036.980000004</v>
      </c>
      <c r="E27" s="171">
        <f t="shared" si="14"/>
        <v>25357319.530000001</v>
      </c>
      <c r="F27" s="171">
        <f t="shared" si="14"/>
        <v>21050092</v>
      </c>
      <c r="G27" s="171">
        <f t="shared" si="14"/>
        <v>20300611</v>
      </c>
      <c r="H27" s="171">
        <f t="shared" ref="H27" si="15">SUM(H23:H26)</f>
        <v>21239183</v>
      </c>
      <c r="I27" s="172">
        <f t="shared" si="6"/>
        <v>8.8080323453673753E-2</v>
      </c>
      <c r="J27" s="171">
        <f t="shared" si="7"/>
        <v>938572</v>
      </c>
      <c r="K27" s="173" t="str">
        <f t="shared" si="8"/>
        <v>▲</v>
      </c>
      <c r="L27" s="172">
        <f t="shared" si="9"/>
        <v>4.6233682326113135E-2</v>
      </c>
      <c r="N27" s="44"/>
    </row>
    <row r="28" spans="1:16" x14ac:dyDescent="0.35">
      <c r="A28" s="2" t="s">
        <v>154</v>
      </c>
      <c r="B28" s="10">
        <v>28571443.069999997</v>
      </c>
      <c r="C28" s="10">
        <v>24537065.359999999</v>
      </c>
      <c r="D28" s="10">
        <v>23643048.73</v>
      </c>
      <c r="E28" s="10">
        <v>26129532.000000004</v>
      </c>
      <c r="F28" s="10">
        <v>37161910</v>
      </c>
      <c r="G28" s="10">
        <v>48060900</v>
      </c>
      <c r="H28" s="10">
        <v>24772724</v>
      </c>
      <c r="I28" s="168">
        <f t="shared" si="6"/>
        <v>0.10273415614661763</v>
      </c>
      <c r="J28" s="169">
        <f t="shared" si="7"/>
        <v>-23288176</v>
      </c>
      <c r="K28" s="168" t="str">
        <f t="shared" si="8"/>
        <v>▼</v>
      </c>
      <c r="L28" s="168">
        <f t="shared" si="9"/>
        <v>-0.48455555347486212</v>
      </c>
      <c r="N28" s="44"/>
    </row>
    <row r="29" spans="1:16" x14ac:dyDescent="0.35">
      <c r="A29" s="8" t="s">
        <v>155</v>
      </c>
      <c r="B29" s="174">
        <v>41813458.390000001</v>
      </c>
      <c r="C29" s="174">
        <v>42806170.880000003</v>
      </c>
      <c r="D29" s="174">
        <v>46071939.200000003</v>
      </c>
      <c r="E29" s="174">
        <v>37277228.120000005</v>
      </c>
      <c r="F29" s="174">
        <v>46860194</v>
      </c>
      <c r="G29" s="174">
        <f>45859692-0.49</f>
        <v>45859691.509999998</v>
      </c>
      <c r="H29" s="174">
        <v>38178595</v>
      </c>
      <c r="I29" s="168">
        <f t="shared" si="6"/>
        <v>0.15832920675935658</v>
      </c>
      <c r="J29" s="169">
        <f t="shared" si="7"/>
        <v>-7681096.5099999979</v>
      </c>
      <c r="K29" s="168" t="str">
        <f t="shared" si="8"/>
        <v>▼</v>
      </c>
      <c r="L29" s="168">
        <f t="shared" si="9"/>
        <v>-0.16749123810231226</v>
      </c>
      <c r="N29" s="44"/>
    </row>
    <row r="30" spans="1:16" ht="15" thickBot="1" x14ac:dyDescent="0.4">
      <c r="A30" s="2" t="s">
        <v>156</v>
      </c>
      <c r="B30" s="10">
        <v>4839108.0600000005</v>
      </c>
      <c r="C30" s="10">
        <v>4695552.46</v>
      </c>
      <c r="D30" s="10">
        <v>5212627.8099999996</v>
      </c>
      <c r="E30" s="10">
        <v>4377559.0299999993</v>
      </c>
      <c r="F30" s="10">
        <v>4805793</v>
      </c>
      <c r="G30" s="10">
        <f>5623258-0.49</f>
        <v>5623257.5099999998</v>
      </c>
      <c r="H30" s="10">
        <v>6127609</v>
      </c>
      <c r="I30" s="168">
        <f t="shared" si="6"/>
        <v>2.5411607533003616E-2</v>
      </c>
      <c r="J30" s="169">
        <f t="shared" si="7"/>
        <v>504351.49000000022</v>
      </c>
      <c r="K30" s="168" t="str">
        <f t="shared" si="8"/>
        <v>▲</v>
      </c>
      <c r="L30" s="168">
        <f t="shared" si="9"/>
        <v>8.9690271004501776E-2</v>
      </c>
      <c r="N30" s="44"/>
    </row>
    <row r="31" spans="1:16" ht="15" thickBot="1" x14ac:dyDescent="0.4">
      <c r="A31" s="6" t="s">
        <v>87</v>
      </c>
      <c r="B31" s="171">
        <f t="shared" ref="B31:G31" si="16">SUM(B28:B30)</f>
        <v>75224009.519999996</v>
      </c>
      <c r="C31" s="171">
        <f t="shared" si="16"/>
        <v>72038788.700000003</v>
      </c>
      <c r="D31" s="171">
        <f t="shared" si="16"/>
        <v>74927615.74000001</v>
      </c>
      <c r="E31" s="171">
        <f t="shared" si="16"/>
        <v>67784319.150000006</v>
      </c>
      <c r="F31" s="171">
        <f t="shared" si="16"/>
        <v>88827897</v>
      </c>
      <c r="G31" s="171">
        <f t="shared" si="16"/>
        <v>99543849.019999996</v>
      </c>
      <c r="H31" s="171">
        <f t="shared" ref="H31" si="17">SUM(H28:H30)</f>
        <v>69078928</v>
      </c>
      <c r="I31" s="172">
        <f t="shared" si="6"/>
        <v>0.28647497043897785</v>
      </c>
      <c r="J31" s="171">
        <f t="shared" si="7"/>
        <v>-30464921.019999996</v>
      </c>
      <c r="K31" s="173" t="str">
        <f t="shared" si="8"/>
        <v>▼</v>
      </c>
      <c r="L31" s="172">
        <f t="shared" si="9"/>
        <v>-0.3060452385549115</v>
      </c>
      <c r="N31" s="44"/>
    </row>
    <row r="32" spans="1:16" ht="15" thickBot="1" x14ac:dyDescent="0.4">
      <c r="A32" s="6" t="s">
        <v>13</v>
      </c>
      <c r="B32" s="171">
        <f t="shared" ref="B32:G32" si="18">B31+B27</f>
        <v>136570470.19</v>
      </c>
      <c r="C32" s="171">
        <f t="shared" si="18"/>
        <v>116150493.48</v>
      </c>
      <c r="D32" s="171">
        <f t="shared" si="18"/>
        <v>109140652.72000001</v>
      </c>
      <c r="E32" s="171">
        <f t="shared" si="18"/>
        <v>93141638.680000007</v>
      </c>
      <c r="F32" s="171">
        <f t="shared" si="18"/>
        <v>109877989</v>
      </c>
      <c r="G32" s="171">
        <f t="shared" si="18"/>
        <v>119844460.02</v>
      </c>
      <c r="H32" s="171">
        <f t="shared" ref="H32" si="19">H31+H27</f>
        <v>90318111</v>
      </c>
      <c r="I32" s="172">
        <f t="shared" si="6"/>
        <v>0.37455529389265158</v>
      </c>
      <c r="J32" s="171">
        <f t="shared" si="7"/>
        <v>-29526349.019999996</v>
      </c>
      <c r="K32" s="173" t="str">
        <f t="shared" si="8"/>
        <v>▼</v>
      </c>
      <c r="L32" s="172">
        <f t="shared" si="9"/>
        <v>-0.24637224795432811</v>
      </c>
      <c r="N32" s="44"/>
    </row>
    <row r="33" spans="1:14" ht="15" thickBot="1" x14ac:dyDescent="0.4">
      <c r="A33" s="6" t="s">
        <v>14</v>
      </c>
      <c r="B33" s="171">
        <f t="shared" ref="B33:G33" si="20">B32+B22</f>
        <v>269692088.99000001</v>
      </c>
      <c r="C33" s="171">
        <f t="shared" si="20"/>
        <v>253340788.24000001</v>
      </c>
      <c r="D33" s="171">
        <f t="shared" si="20"/>
        <v>246194904.52000004</v>
      </c>
      <c r="E33" s="171">
        <f t="shared" si="20"/>
        <v>231354180.92000002</v>
      </c>
      <c r="F33" s="171">
        <f t="shared" si="20"/>
        <v>244022870</v>
      </c>
      <c r="G33" s="171">
        <f t="shared" si="20"/>
        <v>280067417.01999998</v>
      </c>
      <c r="H33" s="171">
        <f t="shared" ref="H33" si="21">H32+H22</f>
        <v>241134253</v>
      </c>
      <c r="I33" s="172">
        <f t="shared" si="6"/>
        <v>1</v>
      </c>
      <c r="J33" s="171">
        <f t="shared" si="7"/>
        <v>-38933164.019999981</v>
      </c>
      <c r="K33" s="173" t="str">
        <f t="shared" si="8"/>
        <v>▼</v>
      </c>
      <c r="L33" s="172">
        <f t="shared" si="9"/>
        <v>-0.13901354336131044</v>
      </c>
      <c r="N33" s="44"/>
    </row>
    <row r="35" spans="1:14" x14ac:dyDescent="0.35">
      <c r="A35" s="13" t="s">
        <v>24</v>
      </c>
      <c r="B35" s="15">
        <f t="shared" ref="B35:G35" si="22">B33-B17</f>
        <v>0.13999998569488525</v>
      </c>
      <c r="C35" s="15">
        <f t="shared" si="22"/>
        <v>0</v>
      </c>
      <c r="D35" s="15">
        <f t="shared" si="22"/>
        <v>0</v>
      </c>
      <c r="E35" s="15">
        <f t="shared" si="22"/>
        <v>-9.9999904632568359E-3</v>
      </c>
      <c r="F35" s="15">
        <f t="shared" si="22"/>
        <v>0</v>
      </c>
      <c r="G35" s="15">
        <f t="shared" si="22"/>
        <v>1.9999980926513672E-2</v>
      </c>
      <c r="H35" s="15">
        <f>H33-H17</f>
        <v>0</v>
      </c>
    </row>
    <row r="38" spans="1:14" x14ac:dyDescent="0.35">
      <c r="A38" s="237" t="s">
        <v>186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4" x14ac:dyDescent="0.3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4" ht="28" x14ac:dyDescent="0.35">
      <c r="A40" s="67" t="s">
        <v>0</v>
      </c>
      <c r="B40" s="68">
        <f>B3</f>
        <v>2017</v>
      </c>
      <c r="C40" s="68">
        <f t="shared" ref="C40:H40" si="23">C3</f>
        <v>2018</v>
      </c>
      <c r="D40" s="68">
        <f t="shared" si="23"/>
        <v>2019</v>
      </c>
      <c r="E40" s="68">
        <f t="shared" si="23"/>
        <v>2020</v>
      </c>
      <c r="F40" s="68">
        <f t="shared" si="23"/>
        <v>2021</v>
      </c>
      <c r="G40" s="68">
        <f t="shared" si="23"/>
        <v>2022</v>
      </c>
      <c r="H40" s="68">
        <f t="shared" si="23"/>
        <v>2023</v>
      </c>
      <c r="I40" s="69" t="str">
        <f>I3</f>
        <v>In total  [2023]</v>
      </c>
      <c r="J40" s="202" t="str">
        <f>CONCATENATE(H40," vs. ",G40)</f>
        <v>2023 vs. 2022</v>
      </c>
      <c r="K40" s="202"/>
      <c r="L40" s="202"/>
    </row>
    <row r="41" spans="1:14" x14ac:dyDescent="0.35">
      <c r="A41" s="2" t="s">
        <v>91</v>
      </c>
      <c r="B41" s="2">
        <v>32911592</v>
      </c>
      <c r="C41" s="2">
        <v>19796325.030000001</v>
      </c>
      <c r="D41" s="2">
        <v>12705852</v>
      </c>
      <c r="E41" s="2">
        <v>6420472.3300000001</v>
      </c>
      <c r="F41" s="2">
        <v>4017589.7124179993</v>
      </c>
      <c r="G41" s="2">
        <v>4044764</v>
      </c>
      <c r="H41" s="66">
        <v>7283272.8558851285</v>
      </c>
      <c r="I41" s="4">
        <f>H41/$H$43</f>
        <v>1</v>
      </c>
      <c r="J41" s="3">
        <f t="shared" ref="J41:J43" si="24">H41-G41</f>
        <v>3238508.8558851285</v>
      </c>
      <c r="K41" s="4" t="str">
        <f t="shared" ref="K41:K43" si="25">IF(H41&gt;G41,"▲",IF(H41=G41,"▬","▼"))</f>
        <v>▲</v>
      </c>
      <c r="L41" s="4">
        <f t="shared" ref="L41:L43" si="26">H41/G41-100%</f>
        <v>0.8006669501323509</v>
      </c>
    </row>
    <row r="42" spans="1:14" x14ac:dyDescent="0.35">
      <c r="A42" s="2" t="s">
        <v>12</v>
      </c>
      <c r="B42" s="2">
        <v>0</v>
      </c>
      <c r="C42" s="2"/>
      <c r="D42" s="2"/>
      <c r="E42" s="2"/>
      <c r="F42" s="2"/>
      <c r="G42" s="2"/>
      <c r="H42" s="66"/>
      <c r="I42" s="4">
        <f>H42/$H$43</f>
        <v>0</v>
      </c>
      <c r="J42" s="3">
        <f t="shared" si="24"/>
        <v>0</v>
      </c>
      <c r="K42" s="4" t="str">
        <f t="shared" si="25"/>
        <v>▬</v>
      </c>
      <c r="L42" s="4"/>
    </row>
    <row r="43" spans="1:14" x14ac:dyDescent="0.35">
      <c r="A43" s="70" t="s">
        <v>143</v>
      </c>
      <c r="B43" s="71">
        <f t="shared" ref="B43:F43" si="27">SUM(B41:B42)</f>
        <v>32911592</v>
      </c>
      <c r="C43" s="71">
        <f t="shared" si="27"/>
        <v>19796325.030000001</v>
      </c>
      <c r="D43" s="71">
        <f t="shared" si="27"/>
        <v>12705852</v>
      </c>
      <c r="E43" s="71">
        <f t="shared" si="27"/>
        <v>6420472.3300000001</v>
      </c>
      <c r="F43" s="71">
        <f t="shared" si="27"/>
        <v>4017589.7124179993</v>
      </c>
      <c r="G43" s="71">
        <f>SUM(G41:G42)</f>
        <v>4044764</v>
      </c>
      <c r="H43" s="72">
        <f>SUM(H41:H42)</f>
        <v>7283272.8558851285</v>
      </c>
      <c r="I43" s="73">
        <f>H43/$H$43</f>
        <v>1</v>
      </c>
      <c r="J43" s="71">
        <f t="shared" si="24"/>
        <v>3238508.8558851285</v>
      </c>
      <c r="K43" s="74" t="str">
        <f t="shared" si="25"/>
        <v>▲</v>
      </c>
      <c r="L43" s="73">
        <f t="shared" si="26"/>
        <v>0.8006669501323509</v>
      </c>
    </row>
    <row r="44" spans="1:14" x14ac:dyDescent="0.35">
      <c r="A44" s="40"/>
      <c r="B44" s="62"/>
      <c r="C44" s="62"/>
      <c r="D44" s="62"/>
      <c r="E44" s="62"/>
      <c r="F44" s="62"/>
      <c r="G44" s="62"/>
      <c r="H44" s="62"/>
      <c r="I44" s="40"/>
      <c r="J44" s="40"/>
      <c r="K44" s="40"/>
      <c r="L44" s="40"/>
    </row>
    <row r="45" spans="1:14" x14ac:dyDescent="0.35">
      <c r="A45" s="237" t="s">
        <v>187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4" x14ac:dyDescent="0.3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4" ht="28" x14ac:dyDescent="0.35">
      <c r="A47" s="67" t="s">
        <v>0</v>
      </c>
      <c r="B47" s="68">
        <f>B3</f>
        <v>2017</v>
      </c>
      <c r="C47" s="68">
        <f t="shared" ref="C47:H47" si="28">C3</f>
        <v>2018</v>
      </c>
      <c r="D47" s="68">
        <f t="shared" si="28"/>
        <v>2019</v>
      </c>
      <c r="E47" s="68">
        <f t="shared" si="28"/>
        <v>2020</v>
      </c>
      <c r="F47" s="68">
        <f t="shared" si="28"/>
        <v>2021</v>
      </c>
      <c r="G47" s="68">
        <f t="shared" si="28"/>
        <v>2022</v>
      </c>
      <c r="H47" s="68">
        <f t="shared" si="28"/>
        <v>2023</v>
      </c>
      <c r="I47" s="69" t="str">
        <f>I40</f>
        <v>In total  [2023]</v>
      </c>
      <c r="J47" s="202" t="str">
        <f>CONCATENATE(H47," vs. ",G47)</f>
        <v>2023 vs. 2022</v>
      </c>
      <c r="K47" s="202"/>
      <c r="L47" s="202"/>
    </row>
    <row r="48" spans="1:14" x14ac:dyDescent="0.35">
      <c r="A48" s="2" t="s">
        <v>90</v>
      </c>
      <c r="B48" s="2">
        <v>41726661.170000002</v>
      </c>
      <c r="C48" s="2">
        <v>42806170.880000003</v>
      </c>
      <c r="D48" s="2">
        <v>46071939.200000003</v>
      </c>
      <c r="E48" s="2">
        <v>37277228.120000005</v>
      </c>
      <c r="F48" s="2">
        <v>46860193.700836428</v>
      </c>
      <c r="G48" s="2">
        <v>45859692</v>
      </c>
      <c r="H48" s="66">
        <v>38178594.690219656</v>
      </c>
      <c r="I48" s="4">
        <f>H48/$H$50</f>
        <v>1</v>
      </c>
      <c r="J48" s="3">
        <f t="shared" ref="J48:J50" si="29">H48-G48</f>
        <v>-7681097.3097803444</v>
      </c>
      <c r="K48" s="4" t="str">
        <f t="shared" ref="K48:K50" si="30">IF(H48&gt;G48,"▲",IF(H48=G48,"▬","▼"))</f>
        <v>▼</v>
      </c>
      <c r="L48" s="4">
        <f t="shared" ref="L48:L50" si="31">H48/G48-100%</f>
        <v>-0.16749125375243135</v>
      </c>
    </row>
    <row r="49" spans="1:12" x14ac:dyDescent="0.35">
      <c r="A49" s="2" t="s">
        <v>12</v>
      </c>
      <c r="B49" s="2">
        <v>86797.22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66">
        <v>0</v>
      </c>
      <c r="I49" s="4">
        <f>H49/$H$50</f>
        <v>0</v>
      </c>
      <c r="J49" s="3">
        <f t="shared" si="29"/>
        <v>0</v>
      </c>
      <c r="K49" s="4" t="str">
        <f t="shared" si="30"/>
        <v>▬</v>
      </c>
      <c r="L49" s="4"/>
    </row>
    <row r="50" spans="1:12" x14ac:dyDescent="0.35">
      <c r="A50" s="70" t="s">
        <v>143</v>
      </c>
      <c r="B50" s="71">
        <f t="shared" ref="B50:F50" si="32">SUM(B48:B49)</f>
        <v>41813458.390000001</v>
      </c>
      <c r="C50" s="71">
        <f t="shared" si="32"/>
        <v>42806170.880000003</v>
      </c>
      <c r="D50" s="71">
        <f t="shared" si="32"/>
        <v>46071939.200000003</v>
      </c>
      <c r="E50" s="71">
        <f t="shared" si="32"/>
        <v>37277228.120000005</v>
      </c>
      <c r="F50" s="71">
        <f t="shared" si="32"/>
        <v>46860193.700836428</v>
      </c>
      <c r="G50" s="71">
        <f>SUM(G48:G49)</f>
        <v>45859692</v>
      </c>
      <c r="H50" s="72">
        <f>SUM(H48:H49)</f>
        <v>38178594.690219656</v>
      </c>
      <c r="I50" s="73">
        <f>H50/$H$50</f>
        <v>1</v>
      </c>
      <c r="J50" s="71">
        <f t="shared" si="29"/>
        <v>-7681097.3097803444</v>
      </c>
      <c r="K50" s="74" t="str">
        <f t="shared" si="30"/>
        <v>▼</v>
      </c>
      <c r="L50" s="73">
        <f t="shared" si="31"/>
        <v>-0.16749125375243135</v>
      </c>
    </row>
    <row r="51" spans="1:12" x14ac:dyDescent="0.35">
      <c r="A51" s="40"/>
      <c r="B51" s="62"/>
      <c r="C51" s="62"/>
      <c r="D51" s="62"/>
      <c r="E51" s="62"/>
      <c r="F51" s="62"/>
      <c r="G51" s="62"/>
      <c r="H51" s="62"/>
      <c r="I51" s="40"/>
      <c r="J51" s="40"/>
      <c r="K51" s="40"/>
      <c r="L51" s="40"/>
    </row>
    <row r="52" spans="1:12" x14ac:dyDescent="0.35">
      <c r="A52" s="200" t="s">
        <v>171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40"/>
    </row>
    <row r="53" spans="1:12" x14ac:dyDescent="0.35">
      <c r="A53" s="13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x14ac:dyDescent="0.35">
      <c r="A54" s="13" t="s">
        <v>24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</sheetData>
  <mergeCells count="4">
    <mergeCell ref="A52:K52"/>
    <mergeCell ref="J3:L3"/>
    <mergeCell ref="J40:L40"/>
    <mergeCell ref="J47:L47"/>
  </mergeCells>
  <conditionalFormatting sqref="K4:K33">
    <cfRule type="expression" dxfId="30" priority="1">
      <formula>H4=G4</formula>
    </cfRule>
    <cfRule type="expression" dxfId="29" priority="2">
      <formula>H4&lt;G4</formula>
    </cfRule>
    <cfRule type="expression" dxfId="28" priority="3">
      <formula>H4&gt;G4</formula>
    </cfRule>
  </conditionalFormatting>
  <conditionalFormatting sqref="K41:K43">
    <cfRule type="expression" dxfId="27" priority="19">
      <formula>H41=G41</formula>
    </cfRule>
    <cfRule type="expression" dxfId="26" priority="20">
      <formula>H41&lt;G41</formula>
    </cfRule>
    <cfRule type="expression" dxfId="25" priority="21">
      <formula>H41&gt;G41</formula>
    </cfRule>
  </conditionalFormatting>
  <conditionalFormatting sqref="K48:K50">
    <cfRule type="expression" dxfId="24" priority="16">
      <formula>H48=G48</formula>
    </cfRule>
    <cfRule type="expression" dxfId="23" priority="17">
      <formula>H48&lt;G48</formula>
    </cfRule>
    <cfRule type="expression" dxfId="22" priority="18">
      <formula>H48&gt;G48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68"/>
  <sheetViews>
    <sheetView showGridLines="0" tabSelected="1" zoomScale="95" zoomScaleNormal="95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H4" sqref="H4:H21"/>
    </sheetView>
  </sheetViews>
  <sheetFormatPr defaultColWidth="9.08984375" defaultRowHeight="14" x14ac:dyDescent="0.35"/>
  <cols>
    <col min="1" max="1" width="58.81640625" style="90" customWidth="1"/>
    <col min="2" max="3" width="13.54296875" style="79" customWidth="1"/>
    <col min="4" max="4" width="13.453125" style="79" customWidth="1"/>
    <col min="5" max="5" width="14.36328125" style="79" customWidth="1"/>
    <col min="6" max="6" width="14.36328125" style="79" bestFit="1" customWidth="1"/>
    <col min="7" max="8" width="14.08984375" style="79" customWidth="1"/>
    <col min="9" max="9" width="2.90625" style="79" customWidth="1"/>
    <col min="10" max="10" width="12.36328125" style="79" customWidth="1"/>
    <col min="11" max="11" width="7.54296875" style="79" bestFit="1" customWidth="1"/>
    <col min="12" max="12" width="1.54296875" style="79" customWidth="1"/>
    <col min="13" max="13" width="8.08984375" style="79" customWidth="1"/>
    <col min="14" max="14" width="6.90625" style="79" customWidth="1"/>
    <col min="15" max="15" width="13.90625" style="79" bestFit="1" customWidth="1"/>
    <col min="16" max="17" width="7.90625" style="79" customWidth="1"/>
    <col min="18" max="18" width="7.453125" style="80" customWidth="1"/>
    <col min="19" max="19" width="9.08984375" style="79"/>
    <col min="20" max="20" width="3.453125" style="79" customWidth="1"/>
    <col min="21" max="21" width="14.54296875" style="79" customWidth="1"/>
    <col min="22" max="16384" width="9.08984375" style="79"/>
  </cols>
  <sheetData>
    <row r="1" spans="1:18" x14ac:dyDescent="0.35">
      <c r="B1" s="76"/>
      <c r="C1" s="76"/>
      <c r="D1" s="76"/>
      <c r="E1" s="76"/>
      <c r="F1" s="76"/>
      <c r="G1" s="76"/>
      <c r="H1" s="76"/>
      <c r="I1" s="76"/>
    </row>
    <row r="2" spans="1:18" ht="14.5" x14ac:dyDescent="0.35">
      <c r="A2" s="75"/>
      <c r="B2" s="76"/>
      <c r="C2" s="76"/>
      <c r="D2" s="76"/>
      <c r="E2" s="76"/>
      <c r="F2" s="76"/>
      <c r="G2" s="76"/>
      <c r="H2" s="40"/>
      <c r="I2" s="77"/>
      <c r="J2" s="78"/>
      <c r="K2" s="77"/>
    </row>
    <row r="3" spans="1:18" s="83" customFormat="1" ht="25.5" customHeight="1" x14ac:dyDescent="0.35">
      <c r="A3" s="81" t="s">
        <v>0</v>
      </c>
      <c r="B3" s="175">
        <v>2017</v>
      </c>
      <c r="C3" s="175">
        <v>2018</v>
      </c>
      <c r="D3" s="175">
        <v>2019</v>
      </c>
      <c r="E3" s="175">
        <v>2020</v>
      </c>
      <c r="F3" s="175">
        <v>2021</v>
      </c>
      <c r="G3" s="175">
        <v>2022</v>
      </c>
      <c r="H3" s="175">
        <v>2023</v>
      </c>
      <c r="I3" s="203" t="str">
        <f>CONCATENATE(H3," vs. ",G3)</f>
        <v>2023 vs. 2022</v>
      </c>
      <c r="J3" s="203"/>
      <c r="K3" s="203"/>
      <c r="R3" s="84"/>
    </row>
    <row r="4" spans="1:18" ht="14.5" x14ac:dyDescent="0.35">
      <c r="A4" s="85" t="s">
        <v>157</v>
      </c>
      <c r="B4" s="9">
        <v>195140694.54999998</v>
      </c>
      <c r="C4" s="9">
        <v>198460718.70000002</v>
      </c>
      <c r="D4" s="9">
        <v>183857279.62999997</v>
      </c>
      <c r="E4" s="9">
        <v>181146471.98999998</v>
      </c>
      <c r="F4" s="9">
        <v>264737647</v>
      </c>
      <c r="G4" s="9">
        <v>262801054</v>
      </c>
      <c r="H4" s="176">
        <v>214230854</v>
      </c>
      <c r="I4" s="3" t="str">
        <f>IF(H4+G4&gt;0,IF(H4&gt;G4,"▲",IF(H4=G4,"▬","▼")),IF(H4&gt;G4,"▼",IF(H4=G4,"▬","▲")))</f>
        <v>▼</v>
      </c>
      <c r="J4" s="85">
        <f>H4-G4</f>
        <v>-48570200</v>
      </c>
      <c r="K4" s="86">
        <f>H4/G4-1</f>
        <v>-0.18481737139456067</v>
      </c>
      <c r="P4" s="91"/>
    </row>
    <row r="5" spans="1:18" ht="14.5" x14ac:dyDescent="0.35">
      <c r="A5" s="2" t="s">
        <v>23</v>
      </c>
      <c r="B5" s="9">
        <v>5090319.22</v>
      </c>
      <c r="C5" s="10">
        <v>4518855.0299999993</v>
      </c>
      <c r="D5" s="10">
        <v>4140236.81</v>
      </c>
      <c r="E5" s="10">
        <v>3967550.28</v>
      </c>
      <c r="F5" s="10">
        <v>4459406</v>
      </c>
      <c r="G5" s="10">
        <v>4454249</v>
      </c>
      <c r="H5" s="177">
        <v>4303986</v>
      </c>
      <c r="I5" s="3" t="str">
        <f t="shared" ref="I5:I21" si="0">IF(H5+G5&gt;0,IF(H5&gt;G5,"▲",IF(H5=G5,"▬","▼")),IF(H5&gt;G5,"▼",IF(H5=G5,"▬","▲")))</f>
        <v>▼</v>
      </c>
      <c r="J5" s="2">
        <f t="shared" ref="J5:J21" si="1">H5-G5</f>
        <v>-150263</v>
      </c>
      <c r="K5" s="86">
        <f t="shared" ref="K5:K21" si="2">H5/G5-1</f>
        <v>-3.3734755286469187E-2</v>
      </c>
      <c r="P5" s="91"/>
    </row>
    <row r="6" spans="1:18" ht="14.5" x14ac:dyDescent="0.35">
      <c r="A6" s="2" t="s">
        <v>158</v>
      </c>
      <c r="B6" s="9">
        <v>2304367</v>
      </c>
      <c r="C6" s="10">
        <v>372436</v>
      </c>
      <c r="D6" s="10">
        <v>3560611</v>
      </c>
      <c r="E6" s="10">
        <v>-843348.13000001945</v>
      </c>
      <c r="F6" s="10">
        <v>872217</v>
      </c>
      <c r="G6" s="10">
        <v>7447653</v>
      </c>
      <c r="H6" s="177">
        <v>485526</v>
      </c>
      <c r="I6" s="3" t="str">
        <f t="shared" si="0"/>
        <v>▼</v>
      </c>
      <c r="J6" s="2">
        <f t="shared" si="1"/>
        <v>-6962127</v>
      </c>
      <c r="K6" s="86">
        <f t="shared" si="2"/>
        <v>-0.93480818722354542</v>
      </c>
      <c r="P6" s="91"/>
    </row>
    <row r="7" spans="1:18" ht="14.5" x14ac:dyDescent="0.35">
      <c r="A7" s="2" t="s">
        <v>159</v>
      </c>
      <c r="B7" s="9">
        <v>-139437992.60999998</v>
      </c>
      <c r="C7" s="10">
        <v>-136656677.34999999</v>
      </c>
      <c r="D7" s="10">
        <v>-123157910.96999998</v>
      </c>
      <c r="E7" s="10">
        <v>-117623988.00999999</v>
      </c>
      <c r="F7" s="10">
        <v>-197945281</v>
      </c>
      <c r="G7" s="10">
        <v>-199065784</v>
      </c>
      <c r="H7" s="177">
        <v>-148776840</v>
      </c>
      <c r="I7" s="3" t="str">
        <f t="shared" si="0"/>
        <v>▼</v>
      </c>
      <c r="J7" s="2">
        <f t="shared" si="1"/>
        <v>50288944</v>
      </c>
      <c r="K7" s="86">
        <f t="shared" si="2"/>
        <v>-0.25262475041918808</v>
      </c>
      <c r="P7" s="91"/>
    </row>
    <row r="8" spans="1:18" ht="14.5" x14ac:dyDescent="0.35">
      <c r="A8" s="2" t="s">
        <v>160</v>
      </c>
      <c r="B8" s="9">
        <v>-34782630.350000001</v>
      </c>
      <c r="C8" s="10">
        <v>-37080271.010000005</v>
      </c>
      <c r="D8" s="10">
        <v>-38593735.280000001</v>
      </c>
      <c r="E8" s="10">
        <v>-37639734.170000002</v>
      </c>
      <c r="F8" s="10">
        <v>-40568395</v>
      </c>
      <c r="G8" s="10">
        <v>-42312860</v>
      </c>
      <c r="H8" s="177">
        <v>-47111543</v>
      </c>
      <c r="I8" s="3" t="str">
        <f t="shared" si="0"/>
        <v>▲</v>
      </c>
      <c r="J8" s="2">
        <f t="shared" si="1"/>
        <v>-4798683</v>
      </c>
      <c r="K8" s="86">
        <f t="shared" si="2"/>
        <v>0.11340956390090384</v>
      </c>
      <c r="P8" s="91"/>
    </row>
    <row r="9" spans="1:18" ht="14.5" x14ac:dyDescent="0.35">
      <c r="A9" s="2" t="s">
        <v>161</v>
      </c>
      <c r="B9" s="9">
        <v>-10706926.199999999</v>
      </c>
      <c r="C9" s="10">
        <v>-11553840.470000001</v>
      </c>
      <c r="D9" s="10">
        <v>-10634489.470000001</v>
      </c>
      <c r="E9" s="10">
        <v>-10202832.52</v>
      </c>
      <c r="F9" s="10">
        <v>-9977583</v>
      </c>
      <c r="G9" s="10">
        <v>-9609158</v>
      </c>
      <c r="H9" s="177">
        <v>-9392805</v>
      </c>
      <c r="I9" s="3" t="str">
        <f t="shared" si="0"/>
        <v>▼</v>
      </c>
      <c r="J9" s="2">
        <f t="shared" si="1"/>
        <v>216353</v>
      </c>
      <c r="K9" s="86">
        <f t="shared" si="2"/>
        <v>-2.2515292182728186E-2</v>
      </c>
      <c r="P9" s="91"/>
    </row>
    <row r="10" spans="1:18" ht="14.5" x14ac:dyDescent="0.35">
      <c r="A10" s="2" t="s">
        <v>162</v>
      </c>
      <c r="B10" s="9">
        <v>-14099310.800000001</v>
      </c>
      <c r="C10" s="10">
        <v>-16247640.980000002</v>
      </c>
      <c r="D10" s="10">
        <v>-15482186.07</v>
      </c>
      <c r="E10" s="10">
        <v>-15084037.750000002</v>
      </c>
      <c r="F10" s="10">
        <v>-15900695</v>
      </c>
      <c r="G10" s="10">
        <v>-18863784</v>
      </c>
      <c r="H10" s="177">
        <v>-16469733</v>
      </c>
      <c r="I10" s="3" t="str">
        <f t="shared" si="0"/>
        <v>▼</v>
      </c>
      <c r="J10" s="2">
        <f t="shared" si="1"/>
        <v>2394051</v>
      </c>
      <c r="K10" s="86">
        <f t="shared" si="2"/>
        <v>-0.12691255370608567</v>
      </c>
      <c r="P10" s="91"/>
    </row>
    <row r="11" spans="1:18" ht="14.5" x14ac:dyDescent="0.35">
      <c r="A11" s="2" t="s">
        <v>163</v>
      </c>
      <c r="B11" s="9">
        <v>4239462.0600000005</v>
      </c>
      <c r="C11" s="10">
        <v>3274542.9499999988</v>
      </c>
      <c r="D11" s="10">
        <v>-253283.14000000185</v>
      </c>
      <c r="E11" s="10">
        <v>-524438.68000000087</v>
      </c>
      <c r="F11" s="10">
        <v>1883115</v>
      </c>
      <c r="G11" s="10">
        <v>1769858</v>
      </c>
      <c r="H11" s="177">
        <v>4863752</v>
      </c>
      <c r="I11" s="3" t="str">
        <f t="shared" si="0"/>
        <v>▲</v>
      </c>
      <c r="J11" s="2">
        <f t="shared" si="1"/>
        <v>3093894</v>
      </c>
      <c r="K11" s="86">
        <f t="shared" si="2"/>
        <v>1.7481029551523344</v>
      </c>
      <c r="P11" s="91"/>
    </row>
    <row r="12" spans="1:18" ht="14.5" x14ac:dyDescent="0.35">
      <c r="A12" s="70" t="s">
        <v>164</v>
      </c>
      <c r="B12" s="178">
        <f>SUM(B4:B11)</f>
        <v>7747982.8699999955</v>
      </c>
      <c r="C12" s="178">
        <f>SUM(C4:C11)</f>
        <v>5088122.8700000178</v>
      </c>
      <c r="D12" s="178">
        <f>SUM(D4:D11)+1</f>
        <v>3436523.5099999816</v>
      </c>
      <c r="E12" s="178">
        <f>SUM(E4:E11)</f>
        <v>3195643.0099999616</v>
      </c>
      <c r="F12" s="178">
        <f>SUM(F4:F11)</f>
        <v>7560431</v>
      </c>
      <c r="G12" s="178">
        <f>SUM(G4:G11)</f>
        <v>6621228</v>
      </c>
      <c r="H12" s="179">
        <f>SUM(H4:H11)</f>
        <v>2133197</v>
      </c>
      <c r="I12" s="71" t="str">
        <f t="shared" si="0"/>
        <v>▼</v>
      </c>
      <c r="J12" s="87">
        <f>SUM(J4:J11)</f>
        <v>-4488031</v>
      </c>
      <c r="K12" s="88">
        <f t="shared" si="2"/>
        <v>-0.6778245666815883</v>
      </c>
      <c r="P12" s="91"/>
    </row>
    <row r="13" spans="1:18" ht="14.5" x14ac:dyDescent="0.35">
      <c r="A13" s="2" t="s">
        <v>165</v>
      </c>
      <c r="B13" s="9">
        <v>1161649.8699999999</v>
      </c>
      <c r="C13" s="10">
        <v>1322967.5999999999</v>
      </c>
      <c r="D13" s="10">
        <v>86398.37</v>
      </c>
      <c r="E13" s="10">
        <v>105139.08</v>
      </c>
      <c r="F13" s="10">
        <v>128719</v>
      </c>
      <c r="G13" s="10">
        <v>47336583</v>
      </c>
      <c r="H13" s="177">
        <v>3444434</v>
      </c>
      <c r="I13" s="3" t="str">
        <f t="shared" si="0"/>
        <v>▼</v>
      </c>
      <c r="J13" s="2">
        <f t="shared" si="1"/>
        <v>-43892149</v>
      </c>
      <c r="K13" s="86">
        <f t="shared" si="2"/>
        <v>-0.92723526326351013</v>
      </c>
      <c r="P13" s="91"/>
    </row>
    <row r="14" spans="1:18" ht="14.5" x14ac:dyDescent="0.35">
      <c r="A14" s="2" t="s">
        <v>166</v>
      </c>
      <c r="B14" s="9">
        <v>-3171295.09</v>
      </c>
      <c r="C14" s="10">
        <v>-1945033.2999999998</v>
      </c>
      <c r="D14" s="10">
        <v>-2935381.92</v>
      </c>
      <c r="E14" s="10">
        <v>-2303518.65</v>
      </c>
      <c r="F14" s="10">
        <v>-1769889</v>
      </c>
      <c r="G14" s="10">
        <v>-1574050</v>
      </c>
      <c r="H14" s="177">
        <v>-2081299</v>
      </c>
      <c r="I14" s="3" t="str">
        <f t="shared" ref="I14:I15" si="3">IF(H14+G14&gt;0,IF(H14&gt;G14,"▲",IF(H14=G14,"▬","▼")),IF(H14&gt;G14,"▼",IF(H14=G14,"▬","▲")))</f>
        <v>▲</v>
      </c>
      <c r="J14" s="2">
        <f t="shared" ref="J14:J15" si="4">H14-G14</f>
        <v>-507249</v>
      </c>
      <c r="K14" s="86">
        <f t="shared" ref="K14:K15" si="5">H14/G14-1</f>
        <v>0.3222572345224104</v>
      </c>
      <c r="P14" s="91"/>
    </row>
    <row r="15" spans="1:18" ht="14.5" x14ac:dyDescent="0.35">
      <c r="A15" s="2" t="s">
        <v>167</v>
      </c>
      <c r="B15" s="9">
        <v>0</v>
      </c>
      <c r="C15" s="10">
        <v>0</v>
      </c>
      <c r="D15" s="10">
        <v>0</v>
      </c>
      <c r="E15" s="10">
        <v>110138</v>
      </c>
      <c r="F15" s="10">
        <v>-6477632</v>
      </c>
      <c r="G15" s="10">
        <v>0</v>
      </c>
      <c r="H15" s="177">
        <v>0</v>
      </c>
      <c r="I15" s="3" t="str">
        <f t="shared" si="3"/>
        <v>▬</v>
      </c>
      <c r="J15" s="2">
        <f t="shared" si="4"/>
        <v>0</v>
      </c>
      <c r="K15" s="86" t="e">
        <f t="shared" si="5"/>
        <v>#DIV/0!</v>
      </c>
      <c r="P15" s="91"/>
    </row>
    <row r="16" spans="1:18" ht="14.5" x14ac:dyDescent="0.35">
      <c r="A16" s="70" t="s">
        <v>15</v>
      </c>
      <c r="B16" s="178">
        <f t="shared" ref="B16:D16" si="6">SUM(B12:B15)</f>
        <v>5738337.6499999948</v>
      </c>
      <c r="C16" s="178">
        <f t="shared" si="6"/>
        <v>4466057.1700000176</v>
      </c>
      <c r="D16" s="178">
        <f t="shared" si="6"/>
        <v>587539.9599999818</v>
      </c>
      <c r="E16" s="178">
        <f>SUM(E12:E15)+1</f>
        <v>1107402.4399999618</v>
      </c>
      <c r="F16" s="178">
        <f>SUM(F12:F15)</f>
        <v>-558371</v>
      </c>
      <c r="G16" s="178">
        <f>SUM(G12:G15)</f>
        <v>52383761</v>
      </c>
      <c r="H16" s="179">
        <f>SUM(H12:H15)</f>
        <v>3496332</v>
      </c>
      <c r="I16" s="71" t="str">
        <f t="shared" si="0"/>
        <v>▼</v>
      </c>
      <c r="J16" s="87">
        <f t="shared" si="1"/>
        <v>-48887429</v>
      </c>
      <c r="K16" s="88">
        <f t="shared" si="2"/>
        <v>-0.93325542241993653</v>
      </c>
      <c r="P16" s="91"/>
    </row>
    <row r="17" spans="1:21" ht="14.5" x14ac:dyDescent="0.35">
      <c r="A17" s="2" t="s">
        <v>16</v>
      </c>
      <c r="B17" s="10">
        <v>-940272</v>
      </c>
      <c r="C17" s="10">
        <v>334297</v>
      </c>
      <c r="D17" s="10">
        <v>-217442</v>
      </c>
      <c r="E17" s="10">
        <v>-238297</v>
      </c>
      <c r="F17" s="10">
        <v>-889087</v>
      </c>
      <c r="G17" s="10">
        <v>-912071</v>
      </c>
      <c r="H17" s="177">
        <v>-182523</v>
      </c>
      <c r="I17" s="3" t="str">
        <f t="shared" si="0"/>
        <v>▼</v>
      </c>
      <c r="J17" s="2">
        <f t="shared" si="1"/>
        <v>729548</v>
      </c>
      <c r="K17" s="86">
        <f t="shared" si="2"/>
        <v>-0.79988071104113612</v>
      </c>
      <c r="P17" s="91"/>
    </row>
    <row r="18" spans="1:21" ht="14.5" x14ac:dyDescent="0.35">
      <c r="A18" s="70" t="s">
        <v>17</v>
      </c>
      <c r="B18" s="178">
        <f t="shared" ref="B18:G18" si="7">B16+B17</f>
        <v>4798065.6499999948</v>
      </c>
      <c r="C18" s="178">
        <f t="shared" si="7"/>
        <v>4800354.1700000176</v>
      </c>
      <c r="D18" s="178">
        <f t="shared" si="7"/>
        <v>370097.9599999818</v>
      </c>
      <c r="E18" s="178">
        <f t="shared" si="7"/>
        <v>869105.43999996176</v>
      </c>
      <c r="F18" s="178">
        <f t="shared" si="7"/>
        <v>-1447458</v>
      </c>
      <c r="G18" s="178">
        <f t="shared" si="7"/>
        <v>51471690</v>
      </c>
      <c r="H18" s="179">
        <f t="shared" ref="H18" si="8">H16+H17</f>
        <v>3313809</v>
      </c>
      <c r="I18" s="71" t="str">
        <f t="shared" si="0"/>
        <v>▼</v>
      </c>
      <c r="J18" s="87">
        <f t="shared" si="1"/>
        <v>-48157881</v>
      </c>
      <c r="K18" s="88">
        <f t="shared" si="2"/>
        <v>-0.93561880326835978</v>
      </c>
      <c r="P18" s="91"/>
    </row>
    <row r="19" spans="1:21" ht="14.5" x14ac:dyDescent="0.35">
      <c r="A19" s="2" t="s">
        <v>18</v>
      </c>
      <c r="B19" s="169">
        <v>0</v>
      </c>
      <c r="C19" s="169"/>
      <c r="D19" s="169"/>
      <c r="E19" s="169"/>
      <c r="F19" s="169"/>
      <c r="G19" s="169">
        <v>745264</v>
      </c>
      <c r="H19" s="177"/>
      <c r="I19" s="3" t="str">
        <f t="shared" si="0"/>
        <v>▼</v>
      </c>
      <c r="J19" s="2">
        <f t="shared" si="1"/>
        <v>-745264</v>
      </c>
      <c r="K19" s="86"/>
    </row>
    <row r="20" spans="1:21" ht="28" x14ac:dyDescent="0.35">
      <c r="A20" s="5" t="s">
        <v>19</v>
      </c>
      <c r="B20" s="180">
        <v>0</v>
      </c>
      <c r="C20" s="180">
        <v>1275648</v>
      </c>
      <c r="D20" s="180">
        <v>74009</v>
      </c>
      <c r="E20" s="180">
        <v>289186</v>
      </c>
      <c r="F20" s="180">
        <v>21016.697074381635</v>
      </c>
      <c r="G20" s="180">
        <v>273332</v>
      </c>
      <c r="H20" s="181">
        <v>485482</v>
      </c>
      <c r="I20" s="3" t="str">
        <f t="shared" si="0"/>
        <v>▲</v>
      </c>
      <c r="J20" s="2">
        <f t="shared" si="1"/>
        <v>212150</v>
      </c>
      <c r="K20" s="86">
        <f t="shared" si="2"/>
        <v>0.77616232274303787</v>
      </c>
    </row>
    <row r="21" spans="1:21" ht="14.5" x14ac:dyDescent="0.35">
      <c r="A21" s="70" t="s">
        <v>20</v>
      </c>
      <c r="B21" s="178">
        <f t="shared" ref="B21:G21" si="9">B18+B19+B20</f>
        <v>4798065.6499999948</v>
      </c>
      <c r="C21" s="178">
        <f t="shared" si="9"/>
        <v>6076002.1700000176</v>
      </c>
      <c r="D21" s="178">
        <f t="shared" si="9"/>
        <v>444106.9599999818</v>
      </c>
      <c r="E21" s="178">
        <f t="shared" si="9"/>
        <v>1158291.4399999618</v>
      </c>
      <c r="F21" s="178">
        <f t="shared" si="9"/>
        <v>-1426441.3029256184</v>
      </c>
      <c r="G21" s="178">
        <f t="shared" si="9"/>
        <v>52490286</v>
      </c>
      <c r="H21" s="179">
        <f t="shared" ref="H21" si="10">H18+H19+H20</f>
        <v>3799291</v>
      </c>
      <c r="I21" s="71" t="str">
        <f t="shared" si="0"/>
        <v>▼</v>
      </c>
      <c r="J21" s="87">
        <f t="shared" si="1"/>
        <v>-48690995</v>
      </c>
      <c r="K21" s="88">
        <f t="shared" si="2"/>
        <v>-0.92761915985750198</v>
      </c>
    </row>
    <row r="22" spans="1:21" ht="7.5" customHeight="1" x14ac:dyDescent="0.35"/>
    <row r="23" spans="1:21" ht="15.75" customHeight="1" x14ac:dyDescent="0.35">
      <c r="A23" s="226" t="s">
        <v>22</v>
      </c>
      <c r="E23" s="160"/>
      <c r="F23" s="160"/>
      <c r="G23" s="160"/>
      <c r="H23" s="160"/>
      <c r="M23" s="224" t="s">
        <v>78</v>
      </c>
      <c r="N23" s="224"/>
      <c r="O23" s="224"/>
    </row>
    <row r="24" spans="1:21" ht="6.75" customHeight="1" x14ac:dyDescent="0.35"/>
    <row r="25" spans="1:21" s="83" customFormat="1" ht="18.75" customHeight="1" x14ac:dyDescent="0.35">
      <c r="A25" s="81" t="s">
        <v>0</v>
      </c>
      <c r="B25" s="82">
        <f t="shared" ref="B25:G25" si="11">B3</f>
        <v>2017</v>
      </c>
      <c r="C25" s="82">
        <f t="shared" si="11"/>
        <v>2018</v>
      </c>
      <c r="D25" s="82">
        <f t="shared" si="11"/>
        <v>2019</v>
      </c>
      <c r="E25" s="82">
        <f t="shared" si="11"/>
        <v>2020</v>
      </c>
      <c r="F25" s="82">
        <f t="shared" si="11"/>
        <v>2021</v>
      </c>
      <c r="G25" s="82">
        <f t="shared" si="11"/>
        <v>2022</v>
      </c>
      <c r="H25" s="82">
        <f t="shared" ref="H25" si="12">H3</f>
        <v>2023</v>
      </c>
      <c r="I25" s="203" t="str">
        <f>CONCATENATE(H25," vs. ",G25)</f>
        <v>2023 vs. 2022</v>
      </c>
      <c r="J25" s="203"/>
      <c r="K25" s="203"/>
      <c r="M25" s="82">
        <f t="shared" ref="M25:S25" si="13">B3</f>
        <v>2017</v>
      </c>
      <c r="N25" s="82">
        <f t="shared" si="13"/>
        <v>2018</v>
      </c>
      <c r="O25" s="82">
        <f t="shared" si="13"/>
        <v>2019</v>
      </c>
      <c r="P25" s="82">
        <f t="shared" si="13"/>
        <v>2020</v>
      </c>
      <c r="Q25" s="82">
        <f t="shared" si="13"/>
        <v>2021</v>
      </c>
      <c r="R25" s="82">
        <f t="shared" si="13"/>
        <v>2022</v>
      </c>
      <c r="S25" s="82">
        <f t="shared" si="13"/>
        <v>2023</v>
      </c>
      <c r="U25" s="79"/>
    </row>
    <row r="26" spans="1:21" s="95" customFormat="1" x14ac:dyDescent="0.35">
      <c r="A26" s="92" t="s">
        <v>176</v>
      </c>
      <c r="B26" s="93">
        <v>140128882.90000001</v>
      </c>
      <c r="C26" s="93">
        <v>148386635.03000003</v>
      </c>
      <c r="D26" s="93">
        <v>139916137.94</v>
      </c>
      <c r="E26" s="93">
        <v>129838504.71999997</v>
      </c>
      <c r="F26" s="93">
        <v>169491035.27999997</v>
      </c>
      <c r="G26" s="93">
        <v>183306274.85999998</v>
      </c>
      <c r="H26" s="94">
        <v>153331408.29000008</v>
      </c>
      <c r="I26" s="3" t="str">
        <f t="shared" ref="I26:I31" si="14">IF(H26+G26&gt;0,IF(H26&gt;G26,"▲",IF(H26=G26,"▬","▼")),IF(H26&gt;G26,"▼",IF(H26=G26,"▬","▲")))</f>
        <v>▼</v>
      </c>
      <c r="J26" s="85">
        <f>H26-G26</f>
        <v>-29974866.569999903</v>
      </c>
      <c r="K26" s="86">
        <f>H26/G26-1</f>
        <v>-0.16352340689315292</v>
      </c>
      <c r="M26" s="96">
        <f t="shared" ref="M26:S30" si="15">B26/B$31</f>
        <v>0.71809154022012134</v>
      </c>
      <c r="N26" s="96">
        <f t="shared" si="15"/>
        <v>0.74768768315816914</v>
      </c>
      <c r="O26" s="96">
        <f t="shared" si="15"/>
        <v>0.76100406872913107</v>
      </c>
      <c r="P26" s="96">
        <f t="shared" si="15"/>
        <v>0.71675977511525846</v>
      </c>
      <c r="Q26" s="96">
        <f t="shared" si="15"/>
        <v>0.64022263977278404</v>
      </c>
      <c r="R26" s="96">
        <f t="shared" si="15"/>
        <v>0.69750966362676325</v>
      </c>
      <c r="S26" s="97">
        <f t="shared" si="15"/>
        <v>0.71572980894765248</v>
      </c>
    </row>
    <row r="27" spans="1:21" s="95" customFormat="1" x14ac:dyDescent="0.35">
      <c r="A27" s="92" t="s">
        <v>96</v>
      </c>
      <c r="B27" s="104">
        <v>48145.760000000002</v>
      </c>
      <c r="C27" s="104">
        <v>10205.08</v>
      </c>
      <c r="D27" s="104">
        <v>18643.099999999999</v>
      </c>
      <c r="E27" s="104">
        <v>17409.099999999999</v>
      </c>
      <c r="F27" s="104">
        <v>40937.800000000003</v>
      </c>
      <c r="G27" s="104">
        <v>68499.350000000006</v>
      </c>
      <c r="H27" s="94">
        <v>4377.54</v>
      </c>
      <c r="I27" s="3" t="str">
        <f t="shared" si="14"/>
        <v>▼</v>
      </c>
      <c r="J27" s="85">
        <f t="shared" ref="J27:J31" si="16">H27-G27</f>
        <v>-64121.810000000005</v>
      </c>
      <c r="K27" s="86">
        <f t="shared" ref="K27:K31" si="17">H27/G27-1</f>
        <v>-0.93609370015919857</v>
      </c>
      <c r="M27" s="105">
        <f t="shared" si="15"/>
        <v>2.467233181195103E-4</v>
      </c>
      <c r="N27" s="105">
        <f t="shared" si="15"/>
        <v>5.1421158112394232E-5</v>
      </c>
      <c r="O27" s="105">
        <f t="shared" si="15"/>
        <v>1.0139984681258179E-4</v>
      </c>
      <c r="P27" s="105">
        <f t="shared" si="15"/>
        <v>9.6105100931872834E-5</v>
      </c>
      <c r="Q27" s="105">
        <f t="shared" si="15"/>
        <v>1.546353548386343E-4</v>
      </c>
      <c r="R27" s="105">
        <f t="shared" si="15"/>
        <v>2.6065097124276332E-4</v>
      </c>
      <c r="S27" s="97">
        <f t="shared" si="15"/>
        <v>2.0433751328592229E-5</v>
      </c>
    </row>
    <row r="28" spans="1:21" s="95" customFormat="1" x14ac:dyDescent="0.35">
      <c r="A28" s="92" t="s">
        <v>97</v>
      </c>
      <c r="B28" s="104">
        <v>293438.77999999991</v>
      </c>
      <c r="C28" s="104">
        <v>226335.83999999994</v>
      </c>
      <c r="D28" s="104">
        <v>286432.85000000003</v>
      </c>
      <c r="E28" s="104">
        <v>320970.99</v>
      </c>
      <c r="F28" s="104">
        <v>488677.3</v>
      </c>
      <c r="G28" s="104">
        <v>721836.0700000003</v>
      </c>
      <c r="H28" s="94">
        <v>425121.62000000011</v>
      </c>
      <c r="I28" s="3" t="str">
        <f t="shared" si="14"/>
        <v>▼</v>
      </c>
      <c r="J28" s="85">
        <f t="shared" si="16"/>
        <v>-296714.45000000019</v>
      </c>
      <c r="K28" s="86">
        <f t="shared" si="17"/>
        <v>-0.41105517212516141</v>
      </c>
      <c r="M28" s="105">
        <f t="shared" si="15"/>
        <v>1.5037292892778301E-3</v>
      </c>
      <c r="N28" s="105">
        <f t="shared" si="15"/>
        <v>1.1404566172084451E-3</v>
      </c>
      <c r="O28" s="105">
        <f t="shared" si="15"/>
        <v>1.5579086692712706E-3</v>
      </c>
      <c r="P28" s="105">
        <f t="shared" si="15"/>
        <v>1.7718865070654513E-3</v>
      </c>
      <c r="Q28" s="105">
        <f t="shared" si="15"/>
        <v>1.8458927369591365E-3</v>
      </c>
      <c r="R28" s="105">
        <f t="shared" si="15"/>
        <v>2.7467015778041598E-3</v>
      </c>
      <c r="S28" s="97">
        <f t="shared" si="15"/>
        <v>1.9844089300128116E-3</v>
      </c>
    </row>
    <row r="29" spans="1:21" s="95" customFormat="1" x14ac:dyDescent="0.35">
      <c r="A29" s="92" t="s">
        <v>98</v>
      </c>
      <c r="B29" s="104">
        <v>51024723.97999993</v>
      </c>
      <c r="C29" s="104">
        <v>45297333.24999997</v>
      </c>
      <c r="D29" s="104">
        <v>38612117.799999997</v>
      </c>
      <c r="E29" s="104">
        <v>45457832.159999996</v>
      </c>
      <c r="F29" s="104">
        <v>89734867.799999997</v>
      </c>
      <c r="G29" s="104">
        <v>71556260.069999978</v>
      </c>
      <c r="H29" s="94">
        <v>53057503.010000013</v>
      </c>
      <c r="I29" s="3" t="str">
        <f t="shared" si="14"/>
        <v>▼</v>
      </c>
      <c r="J29" s="85">
        <f t="shared" si="16"/>
        <v>-18498757.059999965</v>
      </c>
      <c r="K29" s="86">
        <f t="shared" si="17"/>
        <v>-0.25852045707676086</v>
      </c>
      <c r="M29" s="105">
        <f t="shared" si="15"/>
        <v>0.26147659121961581</v>
      </c>
      <c r="N29" s="105">
        <f t="shared" si="15"/>
        <v>0.22824331951518861</v>
      </c>
      <c r="O29" s="105">
        <f t="shared" si="15"/>
        <v>0.21001136238229492</v>
      </c>
      <c r="P29" s="105">
        <f t="shared" si="15"/>
        <v>0.25094516935860756</v>
      </c>
      <c r="Q29" s="105">
        <f t="shared" si="15"/>
        <v>0.33895771447539774</v>
      </c>
      <c r="R29" s="105">
        <f t="shared" si="15"/>
        <v>0.27228300247732651</v>
      </c>
      <c r="S29" s="97">
        <f t="shared" si="15"/>
        <v>0.24766508646919821</v>
      </c>
    </row>
    <row r="30" spans="1:21" s="95" customFormat="1" ht="15" thickBot="1" x14ac:dyDescent="0.4">
      <c r="A30" s="92" t="s">
        <v>99</v>
      </c>
      <c r="B30" s="104">
        <v>3645504.5100000021</v>
      </c>
      <c r="C30" s="104">
        <v>4540209.59</v>
      </c>
      <c r="D30" s="104">
        <v>5023948.0399999991</v>
      </c>
      <c r="E30" s="104">
        <v>5511755.2900000028</v>
      </c>
      <c r="F30" s="104">
        <v>4982128.9300000006</v>
      </c>
      <c r="G30" s="104">
        <v>7148183.7700000098</v>
      </c>
      <c r="H30" s="185">
        <v>7412443.6600000029</v>
      </c>
      <c r="I30" s="3" t="str">
        <f t="shared" si="14"/>
        <v>▲</v>
      </c>
      <c r="J30" s="85">
        <f t="shared" si="16"/>
        <v>264259.88999999315</v>
      </c>
      <c r="K30" s="86">
        <f t="shared" si="17"/>
        <v>3.6968815926229803E-2</v>
      </c>
      <c r="M30" s="105">
        <f t="shared" si="15"/>
        <v>1.8681415952865633E-2</v>
      </c>
      <c r="N30" s="105">
        <f t="shared" si="15"/>
        <v>2.2877119551321361E-2</v>
      </c>
      <c r="O30" s="105">
        <f t="shared" si="15"/>
        <v>2.7325260372490116E-2</v>
      </c>
      <c r="P30" s="105">
        <f t="shared" si="15"/>
        <v>3.0427063918136741E-2</v>
      </c>
      <c r="Q30" s="105">
        <f t="shared" si="15"/>
        <v>1.8819117660020215E-2</v>
      </c>
      <c r="R30" s="105">
        <f t="shared" si="15"/>
        <v>2.7199981346863293E-2</v>
      </c>
      <c r="S30" s="97">
        <f t="shared" si="15"/>
        <v>3.4600261901807892E-2</v>
      </c>
    </row>
    <row r="31" spans="1:21" s="95" customFormat="1" ht="15" thickBot="1" x14ac:dyDescent="0.4">
      <c r="A31" s="106"/>
      <c r="B31" s="182">
        <f t="shared" ref="B31:G31" si="18">SUM(B26:B30)</f>
        <v>195140695.92999992</v>
      </c>
      <c r="C31" s="182">
        <f t="shared" si="18"/>
        <v>198460718.79000002</v>
      </c>
      <c r="D31" s="182">
        <f t="shared" si="18"/>
        <v>183857279.72999999</v>
      </c>
      <c r="E31" s="182">
        <f t="shared" si="18"/>
        <v>181146472.25999996</v>
      </c>
      <c r="F31" s="182">
        <f t="shared" si="18"/>
        <v>264737647.11000001</v>
      </c>
      <c r="G31" s="182">
        <f t="shared" si="18"/>
        <v>262801054.11999997</v>
      </c>
      <c r="H31" s="183">
        <f t="shared" ref="H31" si="19">SUM(H26:H30)</f>
        <v>214230854.12000009</v>
      </c>
      <c r="I31" s="110" t="str">
        <f t="shared" si="14"/>
        <v>▼</v>
      </c>
      <c r="J31" s="111">
        <f t="shared" si="16"/>
        <v>-48570199.999999881</v>
      </c>
      <c r="K31" s="112">
        <f t="shared" si="17"/>
        <v>-0.18481737131016907</v>
      </c>
      <c r="M31" s="113">
        <f t="shared" ref="M31:S31" si="20">SUM(M27:M30)</f>
        <v>0.28190845977987877</v>
      </c>
      <c r="N31" s="113">
        <f t="shared" si="20"/>
        <v>0.25231231684183081</v>
      </c>
      <c r="O31" s="114">
        <f t="shared" si="20"/>
        <v>0.23899593127086888</v>
      </c>
      <c r="P31" s="114">
        <f t="shared" si="20"/>
        <v>0.28324022488474165</v>
      </c>
      <c r="Q31" s="114">
        <f t="shared" si="20"/>
        <v>0.35977736022721574</v>
      </c>
      <c r="R31" s="114">
        <f t="shared" si="20"/>
        <v>0.30249033637323675</v>
      </c>
      <c r="S31" s="115">
        <f t="shared" si="20"/>
        <v>0.28427019105234752</v>
      </c>
    </row>
    <row r="32" spans="1:21" s="95" customFormat="1" x14ac:dyDescent="0.35">
      <c r="A32" s="116"/>
      <c r="B32" s="117">
        <f t="shared" ref="B32:G32" si="21">B31-B4</f>
        <v>1.3799999356269836</v>
      </c>
      <c r="C32" s="117">
        <f t="shared" si="21"/>
        <v>9.0000003576278687E-2</v>
      </c>
      <c r="D32" s="117">
        <f t="shared" si="21"/>
        <v>0.10000002384185791</v>
      </c>
      <c r="E32" s="117">
        <f t="shared" si="21"/>
        <v>0.26999998092651367</v>
      </c>
      <c r="F32" s="117">
        <f t="shared" si="21"/>
        <v>0.11000001430511475</v>
      </c>
      <c r="G32" s="117">
        <f t="shared" si="21"/>
        <v>0.11999997496604919</v>
      </c>
      <c r="H32" s="117">
        <f t="shared" ref="H32" si="22">H31-H4</f>
        <v>0.12000009417533875</v>
      </c>
      <c r="I32" s="118"/>
      <c r="J32" s="119"/>
      <c r="K32" s="120"/>
      <c r="R32" s="80"/>
    </row>
    <row r="33" spans="1:26" ht="15.75" customHeight="1" x14ac:dyDescent="0.35">
      <c r="A33" s="224" t="s">
        <v>129</v>
      </c>
      <c r="F33" s="91"/>
      <c r="G33" s="91"/>
      <c r="M33" s="224" t="s">
        <v>78</v>
      </c>
      <c r="N33" s="224"/>
      <c r="O33" s="224"/>
      <c r="U33" s="204" t="s">
        <v>135</v>
      </c>
      <c r="V33" s="204"/>
      <c r="W33" s="205" t="s">
        <v>137</v>
      </c>
      <c r="X33" s="205"/>
      <c r="Y33" s="205"/>
      <c r="Z33" s="205"/>
    </row>
    <row r="34" spans="1:26" ht="6.75" customHeight="1" x14ac:dyDescent="0.35">
      <c r="M34" s="225"/>
      <c r="N34" s="225"/>
      <c r="O34" s="225"/>
    </row>
    <row r="35" spans="1:26" s="83" customFormat="1" ht="18.75" customHeight="1" x14ac:dyDescent="0.35">
      <c r="A35" s="81" t="s">
        <v>0</v>
      </c>
      <c r="B35" s="82">
        <f t="shared" ref="B35:G35" si="23">B3</f>
        <v>2017</v>
      </c>
      <c r="C35" s="82">
        <f t="shared" si="23"/>
        <v>2018</v>
      </c>
      <c r="D35" s="82">
        <f t="shared" si="23"/>
        <v>2019</v>
      </c>
      <c r="E35" s="82">
        <f t="shared" si="23"/>
        <v>2020</v>
      </c>
      <c r="F35" s="82">
        <f t="shared" si="23"/>
        <v>2021</v>
      </c>
      <c r="G35" s="82">
        <f t="shared" si="23"/>
        <v>2022</v>
      </c>
      <c r="H35" s="82">
        <f t="shared" ref="H35" si="24">H3</f>
        <v>2023</v>
      </c>
      <c r="I35" s="203" t="str">
        <f>CONCATENATE(H35," vs. ",G35)</f>
        <v>2023 vs. 2022</v>
      </c>
      <c r="J35" s="203"/>
      <c r="K35" s="203"/>
      <c r="M35" s="82">
        <f t="shared" ref="M35:S35" si="25">M25</f>
        <v>2017</v>
      </c>
      <c r="N35" s="82">
        <f t="shared" si="25"/>
        <v>2018</v>
      </c>
      <c r="O35" s="82">
        <f t="shared" si="25"/>
        <v>2019</v>
      </c>
      <c r="P35" s="82">
        <f t="shared" si="25"/>
        <v>2020</v>
      </c>
      <c r="Q35" s="82">
        <f t="shared" si="25"/>
        <v>2021</v>
      </c>
      <c r="R35" s="82">
        <f t="shared" si="25"/>
        <v>2022</v>
      </c>
      <c r="S35" s="82">
        <f t="shared" si="25"/>
        <v>2023</v>
      </c>
    </row>
    <row r="36" spans="1:26" s="95" customFormat="1" x14ac:dyDescent="0.35">
      <c r="A36" s="92" t="s">
        <v>130</v>
      </c>
      <c r="B36" s="121">
        <v>101155949.34</v>
      </c>
      <c r="C36" s="121">
        <v>108553299.26000002</v>
      </c>
      <c r="D36" s="121">
        <v>103347658.91</v>
      </c>
      <c r="E36" s="121">
        <v>101171874.89999998</v>
      </c>
      <c r="F36" s="121">
        <v>125387822.75</v>
      </c>
      <c r="G36" s="121">
        <v>127314643.90000001</v>
      </c>
      <c r="H36" s="122">
        <v>109074941.45000003</v>
      </c>
      <c r="I36" s="3" t="str">
        <f t="shared" ref="I36:I40" si="26">IF(H36+G36&gt;0,IF(H36&gt;G36,"▲",IF(H36=G36,"▬","▼")),IF(H36&gt;G36,"▼",IF(H36=G36,"▬","▲")))</f>
        <v>▼</v>
      </c>
      <c r="J36" s="85">
        <f>H36-G36</f>
        <v>-18239702.449999973</v>
      </c>
      <c r="K36" s="86">
        <f>H36/G36-1</f>
        <v>-0.14326476429786383</v>
      </c>
      <c r="M36" s="96">
        <f>B36/B$31</f>
        <v>0.51837444187595938</v>
      </c>
      <c r="N36" s="96">
        <f t="shared" ref="N36:N39" si="27">C36/C$31</f>
        <v>0.54697624760124453</v>
      </c>
      <c r="O36" s="96">
        <f t="shared" ref="O36:O39" si="28">D36/D$31</f>
        <v>0.5621080604573786</v>
      </c>
      <c r="P36" s="96">
        <f t="shared" ref="P36:P39" si="29">E36/E$31</f>
        <v>0.55850866780771613</v>
      </c>
      <c r="Q36" s="96">
        <f t="shared" ref="Q36:Q39" si="30">F36/F$31</f>
        <v>0.47363049463796375</v>
      </c>
      <c r="R36" s="96">
        <f t="shared" ref="R36:R39" si="31">G36/G$31</f>
        <v>0.48445256175367435</v>
      </c>
      <c r="S36" s="97">
        <f>H36/H$31</f>
        <v>0.5091467421816952</v>
      </c>
    </row>
    <row r="37" spans="1:26" s="101" customFormat="1" x14ac:dyDescent="0.35">
      <c r="A37" s="98" t="s">
        <v>131</v>
      </c>
      <c r="B37" s="99">
        <v>32045842.160000008</v>
      </c>
      <c r="C37" s="99">
        <v>34431228.289999992</v>
      </c>
      <c r="D37" s="99">
        <v>30961367.02</v>
      </c>
      <c r="E37" s="99">
        <v>23154618.529999994</v>
      </c>
      <c r="F37" s="99">
        <v>38271305.11999999</v>
      </c>
      <c r="G37" s="99">
        <v>46502131.649999984</v>
      </c>
      <c r="H37" s="100">
        <v>37905250.480000019</v>
      </c>
      <c r="I37" s="3" t="str">
        <f t="shared" si="26"/>
        <v>▼</v>
      </c>
      <c r="J37" s="85">
        <f t="shared" ref="J37:J40" si="32">H37-G37</f>
        <v>-8596881.1699999645</v>
      </c>
      <c r="K37" s="86">
        <f t="shared" ref="K37:K40" si="33">H37/G37-1</f>
        <v>-0.18487069011598667</v>
      </c>
      <c r="M37" s="102">
        <f t="shared" ref="M37:M39" si="34">B37/B$31</f>
        <v>0.16421916508638137</v>
      </c>
      <c r="N37" s="102">
        <f t="shared" si="27"/>
        <v>0.17349140172385036</v>
      </c>
      <c r="O37" s="102">
        <f t="shared" si="28"/>
        <v>0.16839891825587602</v>
      </c>
      <c r="P37" s="102">
        <f t="shared" si="29"/>
        <v>0.12782263016839829</v>
      </c>
      <c r="Q37" s="102">
        <f t="shared" si="30"/>
        <v>0.14456313840433144</v>
      </c>
      <c r="R37" s="102">
        <f t="shared" si="31"/>
        <v>0.1769480408125236</v>
      </c>
      <c r="S37" s="103">
        <f t="shared" ref="S37:S39" si="35">H37/H$31</f>
        <v>0.17693646713823782</v>
      </c>
    </row>
    <row r="38" spans="1:26" s="128" customFormat="1" ht="28" x14ac:dyDescent="0.35">
      <c r="A38" s="123" t="s">
        <v>133</v>
      </c>
      <c r="B38" s="124">
        <v>6927091.4000000022</v>
      </c>
      <c r="C38" s="124">
        <v>5402107.4799999995</v>
      </c>
      <c r="D38" s="124">
        <v>5607112.0099999998</v>
      </c>
      <c r="E38" s="124">
        <v>5512011.29</v>
      </c>
      <c r="F38" s="124">
        <v>5831907.4100000001</v>
      </c>
      <c r="G38" s="124">
        <v>9489499.3099999987</v>
      </c>
      <c r="H38" s="125">
        <v>6351216.3600000003</v>
      </c>
      <c r="I38" s="89" t="str">
        <f t="shared" si="26"/>
        <v>▼</v>
      </c>
      <c r="J38" s="126">
        <f t="shared" si="32"/>
        <v>-3138282.9499999983</v>
      </c>
      <c r="K38" s="127">
        <f t="shared" si="33"/>
        <v>-0.33071112052169993</v>
      </c>
      <c r="M38" s="129">
        <f t="shared" si="34"/>
        <v>3.5497933257780633E-2</v>
      </c>
      <c r="N38" s="129">
        <f t="shared" si="27"/>
        <v>2.7220033833074069E-2</v>
      </c>
      <c r="O38" s="129">
        <f t="shared" si="28"/>
        <v>3.0497090015876523E-2</v>
      </c>
      <c r="P38" s="129">
        <f t="shared" si="29"/>
        <v>3.0428477139144046E-2</v>
      </c>
      <c r="Q38" s="129">
        <f t="shared" si="30"/>
        <v>2.2029006730488954E-2</v>
      </c>
      <c r="R38" s="129">
        <f t="shared" si="31"/>
        <v>3.6109061060565273E-2</v>
      </c>
      <c r="S38" s="130">
        <f t="shared" si="35"/>
        <v>2.9646599627719383E-2</v>
      </c>
    </row>
    <row r="39" spans="1:26" s="101" customFormat="1" ht="15" thickBot="1" x14ac:dyDescent="0.4">
      <c r="A39" s="98" t="s">
        <v>132</v>
      </c>
      <c r="B39" s="99">
        <v>55011813.029999934</v>
      </c>
      <c r="C39" s="99">
        <v>50074083.759999976</v>
      </c>
      <c r="D39" s="99">
        <v>43941141.789999999</v>
      </c>
      <c r="E39" s="99">
        <v>51307967.540000007</v>
      </c>
      <c r="F39" s="99">
        <v>95246611.829999998</v>
      </c>
      <c r="G39" s="99">
        <v>79494779.260000005</v>
      </c>
      <c r="H39" s="184">
        <v>60899445.830000013</v>
      </c>
      <c r="I39" s="3" t="str">
        <f t="shared" si="26"/>
        <v>▼</v>
      </c>
      <c r="J39" s="85">
        <f t="shared" si="32"/>
        <v>-18595333.429999992</v>
      </c>
      <c r="K39" s="86">
        <f t="shared" si="33"/>
        <v>-0.23391892653957902</v>
      </c>
      <c r="M39" s="102">
        <f t="shared" si="34"/>
        <v>0.28190845977987877</v>
      </c>
      <c r="N39" s="102">
        <f t="shared" si="27"/>
        <v>0.25231231684183081</v>
      </c>
      <c r="O39" s="102">
        <f t="shared" si="28"/>
        <v>0.23899593127086893</v>
      </c>
      <c r="P39" s="102">
        <f t="shared" si="29"/>
        <v>0.28324022488474165</v>
      </c>
      <c r="Q39" s="102">
        <f t="shared" si="30"/>
        <v>0.35977736022721574</v>
      </c>
      <c r="R39" s="102">
        <f t="shared" si="31"/>
        <v>0.3024903363732368</v>
      </c>
      <c r="S39" s="103">
        <f t="shared" si="35"/>
        <v>0.28427019105234752</v>
      </c>
    </row>
    <row r="40" spans="1:26" s="95" customFormat="1" ht="14.5" thickBot="1" x14ac:dyDescent="0.4">
      <c r="A40" s="106"/>
      <c r="B40" s="107">
        <f t="shared" ref="B40:G40" si="36">SUM(B36:B39)</f>
        <v>195140695.92999995</v>
      </c>
      <c r="C40" s="108">
        <f t="shared" si="36"/>
        <v>198460718.78999996</v>
      </c>
      <c r="D40" s="108">
        <f t="shared" si="36"/>
        <v>183857279.72999999</v>
      </c>
      <c r="E40" s="108">
        <f t="shared" si="36"/>
        <v>181146472.25999999</v>
      </c>
      <c r="F40" s="108">
        <f t="shared" si="36"/>
        <v>264737647.11000001</v>
      </c>
      <c r="G40" s="108">
        <f t="shared" si="36"/>
        <v>262801054.12</v>
      </c>
      <c r="H40" s="109">
        <f t="shared" ref="H40" si="37">SUM(H36:H39)</f>
        <v>214230854.12000009</v>
      </c>
      <c r="I40" s="110" t="str">
        <f t="shared" si="26"/>
        <v>▼</v>
      </c>
      <c r="J40" s="111">
        <f t="shared" si="32"/>
        <v>-48570199.999999911</v>
      </c>
      <c r="K40" s="112">
        <f t="shared" si="33"/>
        <v>-0.18481737131016918</v>
      </c>
      <c r="M40" s="113">
        <f>SUM(M36:M39)</f>
        <v>1</v>
      </c>
      <c r="N40" s="113">
        <f t="shared" ref="N40:S40" si="38">SUM(N36:N39)</f>
        <v>0.99999999999999978</v>
      </c>
      <c r="O40" s="113">
        <f t="shared" si="38"/>
        <v>1</v>
      </c>
      <c r="P40" s="113">
        <f t="shared" si="38"/>
        <v>1.0000000000000002</v>
      </c>
      <c r="Q40" s="113">
        <f t="shared" si="38"/>
        <v>0.99999999999999989</v>
      </c>
      <c r="R40" s="113">
        <f t="shared" si="38"/>
        <v>1</v>
      </c>
      <c r="S40" s="115">
        <f t="shared" si="38"/>
        <v>1</v>
      </c>
    </row>
    <row r="41" spans="1:26" s="95" customFormat="1" x14ac:dyDescent="0.35">
      <c r="A41" s="131"/>
      <c r="B41" s="132">
        <f t="shared" ref="B41:G41" si="39">B40-B31</f>
        <v>0</v>
      </c>
      <c r="C41" s="132">
        <f t="shared" si="39"/>
        <v>0</v>
      </c>
      <c r="D41" s="132">
        <f t="shared" si="39"/>
        <v>0</v>
      </c>
      <c r="E41" s="132">
        <f t="shared" si="39"/>
        <v>0</v>
      </c>
      <c r="F41" s="132">
        <f t="shared" si="39"/>
        <v>0</v>
      </c>
      <c r="G41" s="132">
        <f t="shared" si="39"/>
        <v>0</v>
      </c>
      <c r="H41" s="132">
        <f t="shared" ref="H41" si="40">H40-H31</f>
        <v>0</v>
      </c>
      <c r="I41" s="133"/>
      <c r="J41" s="134"/>
      <c r="K41" s="135"/>
      <c r="R41" s="80"/>
    </row>
    <row r="42" spans="1:26" ht="18.75" customHeight="1" x14ac:dyDescent="0.35">
      <c r="A42" s="227" t="s">
        <v>168</v>
      </c>
      <c r="H42" s="80"/>
    </row>
    <row r="43" spans="1:26" ht="8.25" customHeight="1" x14ac:dyDescent="0.35"/>
    <row r="44" spans="1:26" s="83" customFormat="1" ht="18" customHeight="1" x14ac:dyDescent="0.35">
      <c r="A44" s="81" t="s">
        <v>0</v>
      </c>
      <c r="B44" s="82">
        <f t="shared" ref="B44:G44" si="41">B3</f>
        <v>2017</v>
      </c>
      <c r="C44" s="82">
        <f t="shared" si="41"/>
        <v>2018</v>
      </c>
      <c r="D44" s="82">
        <f t="shared" si="41"/>
        <v>2019</v>
      </c>
      <c r="E44" s="82">
        <f t="shared" si="41"/>
        <v>2020</v>
      </c>
      <c r="F44" s="82">
        <f t="shared" si="41"/>
        <v>2021</v>
      </c>
      <c r="G44" s="82">
        <f t="shared" si="41"/>
        <v>2022</v>
      </c>
      <c r="H44" s="82">
        <f t="shared" ref="H44" si="42">H3</f>
        <v>2023</v>
      </c>
      <c r="I44" s="203" t="str">
        <f>CONCATENATE(H44," vs. ",G44)</f>
        <v>2023 vs. 2022</v>
      </c>
      <c r="J44" s="203"/>
      <c r="K44" s="203"/>
      <c r="R44" s="84"/>
    </row>
    <row r="45" spans="1:26" ht="14.5" x14ac:dyDescent="0.35">
      <c r="A45" s="136" t="s">
        <v>100</v>
      </c>
      <c r="B45" s="169">
        <v>2825883</v>
      </c>
      <c r="C45" s="169">
        <v>2255686.11</v>
      </c>
      <c r="D45" s="169">
        <v>1865024.04</v>
      </c>
      <c r="E45" s="169">
        <v>1705120</v>
      </c>
      <c r="F45" s="169">
        <v>2199955</v>
      </c>
      <c r="G45" s="169">
        <v>2247585</v>
      </c>
      <c r="H45" s="184">
        <v>2190008</v>
      </c>
      <c r="I45" s="3" t="str">
        <f t="shared" ref="I45:I47" si="43">IF(H45+G45&gt;0,IF(H45&gt;G45,"▲",IF(H45=G45,"▬","▼")),IF(H45&gt;G45,"▼",IF(H45=G45,"▬","▲")))</f>
        <v>▼</v>
      </c>
      <c r="J45" s="137">
        <f t="shared" ref="J45:J47" si="44">H45-G45</f>
        <v>-57577</v>
      </c>
      <c r="K45" s="86">
        <f t="shared" ref="K45:K47" si="45">H45/G45-1</f>
        <v>-2.5617273651497019E-2</v>
      </c>
    </row>
    <row r="46" spans="1:26" ht="15" thickBot="1" x14ac:dyDescent="0.4">
      <c r="A46" s="136" t="s">
        <v>170</v>
      </c>
      <c r="B46" s="169">
        <v>2264435.7599999998</v>
      </c>
      <c r="C46" s="169">
        <v>2263168.92</v>
      </c>
      <c r="D46" s="169">
        <v>2275212.77</v>
      </c>
      <c r="E46" s="169">
        <v>2262430.7799999998</v>
      </c>
      <c r="F46" s="169">
        <v>2259451</v>
      </c>
      <c r="G46" s="169">
        <v>2206664</v>
      </c>
      <c r="H46" s="184">
        <v>2113978</v>
      </c>
      <c r="I46" s="3" t="str">
        <f t="shared" si="43"/>
        <v>▼</v>
      </c>
      <c r="J46" s="137">
        <f t="shared" si="44"/>
        <v>-92686</v>
      </c>
      <c r="K46" s="86">
        <f t="shared" si="45"/>
        <v>-4.200276979186679E-2</v>
      </c>
    </row>
    <row r="47" spans="1:26" ht="14.5" thickBot="1" x14ac:dyDescent="0.4">
      <c r="A47" s="138"/>
      <c r="B47" s="6">
        <f t="shared" ref="B47:G47" si="46">SUM(B45:B46)</f>
        <v>5090318.76</v>
      </c>
      <c r="C47" s="7">
        <f t="shared" si="46"/>
        <v>4518855.0299999993</v>
      </c>
      <c r="D47" s="7">
        <f t="shared" si="46"/>
        <v>4140236.81</v>
      </c>
      <c r="E47" s="7">
        <f t="shared" si="46"/>
        <v>3967550.78</v>
      </c>
      <c r="F47" s="7">
        <f t="shared" si="46"/>
        <v>4459406</v>
      </c>
      <c r="G47" s="7">
        <f t="shared" si="46"/>
        <v>4454249</v>
      </c>
      <c r="H47" s="109">
        <f t="shared" ref="H47" si="47">SUM(H45:H46)</f>
        <v>4303986</v>
      </c>
      <c r="I47" s="110" t="str">
        <f t="shared" si="43"/>
        <v>▼</v>
      </c>
      <c r="J47" s="139">
        <f t="shared" si="44"/>
        <v>-150263</v>
      </c>
      <c r="K47" s="112">
        <f t="shared" si="45"/>
        <v>-3.3734755286469187E-2</v>
      </c>
    </row>
    <row r="48" spans="1:26" ht="4.75" customHeight="1" x14ac:dyDescent="0.35"/>
    <row r="49" spans="1:18" x14ac:dyDescent="0.35">
      <c r="A49" s="140"/>
      <c r="B49" s="91">
        <f t="shared" ref="B49:G49" si="48">B47-B5</f>
        <v>-0.4599999999627471</v>
      </c>
      <c r="C49" s="91">
        <f t="shared" si="48"/>
        <v>0</v>
      </c>
      <c r="D49" s="91">
        <f t="shared" si="48"/>
        <v>0</v>
      </c>
      <c r="E49" s="91">
        <f t="shared" si="48"/>
        <v>0.5</v>
      </c>
      <c r="F49" s="91">
        <f t="shared" si="48"/>
        <v>0</v>
      </c>
      <c r="G49" s="91">
        <f t="shared" si="48"/>
        <v>0</v>
      </c>
      <c r="H49" s="91">
        <f t="shared" ref="H49" si="49">H47-H5</f>
        <v>0</v>
      </c>
    </row>
    <row r="50" spans="1:18" ht="18.75" customHeight="1" x14ac:dyDescent="0.35">
      <c r="A50" s="227" t="s">
        <v>169</v>
      </c>
      <c r="H50" s="80"/>
    </row>
    <row r="51" spans="1:18" ht="8.25" customHeight="1" x14ac:dyDescent="0.35"/>
    <row r="52" spans="1:18" s="83" customFormat="1" ht="18" customHeight="1" x14ac:dyDescent="0.35">
      <c r="A52" s="81" t="s">
        <v>0</v>
      </c>
      <c r="B52" s="82">
        <f t="shared" ref="B52:G52" si="50">B3</f>
        <v>2017</v>
      </c>
      <c r="C52" s="82">
        <f t="shared" si="50"/>
        <v>2018</v>
      </c>
      <c r="D52" s="82">
        <f t="shared" si="50"/>
        <v>2019</v>
      </c>
      <c r="E52" s="82">
        <f t="shared" si="50"/>
        <v>2020</v>
      </c>
      <c r="F52" s="82">
        <f t="shared" si="50"/>
        <v>2021</v>
      </c>
      <c r="G52" s="82">
        <f t="shared" si="50"/>
        <v>2022</v>
      </c>
      <c r="H52" s="82">
        <f t="shared" ref="H52" si="51">H3</f>
        <v>2023</v>
      </c>
      <c r="I52" s="203" t="str">
        <f>CONCATENATE(H52," vs. ",G52)</f>
        <v>2023 vs. 2022</v>
      </c>
      <c r="J52" s="203"/>
      <c r="K52" s="203"/>
      <c r="R52" s="84"/>
    </row>
    <row r="53" spans="1:18" ht="14.5" x14ac:dyDescent="0.35">
      <c r="A53" s="136" t="s">
        <v>21</v>
      </c>
      <c r="B53" s="169">
        <v>3652</v>
      </c>
      <c r="C53" s="169">
        <v>91386.900000000009</v>
      </c>
      <c r="D53" s="169">
        <v>86398.37</v>
      </c>
      <c r="E53" s="169">
        <v>105139</v>
      </c>
      <c r="F53" s="169">
        <v>128719</v>
      </c>
      <c r="G53" s="169">
        <v>316730</v>
      </c>
      <c r="H53" s="184">
        <v>983890</v>
      </c>
      <c r="I53" s="3" t="str">
        <f t="shared" ref="I53:I62" si="52">IF(H53+G53&gt;0,IF(H53&gt;G53,"▲",IF(H53=G53,"▬","▼")),IF(H53&gt;G53,"▼",IF(H53=G53,"▬","▲")))</f>
        <v>▲</v>
      </c>
      <c r="J53" s="137">
        <f t="shared" ref="J53:J62" si="53">H53-G53</f>
        <v>667160</v>
      </c>
      <c r="K53" s="86">
        <f t="shared" ref="K53" si="54">H53/G53-1</f>
        <v>2.1063997726770434</v>
      </c>
    </row>
    <row r="54" spans="1:18" ht="14.5" x14ac:dyDescent="0.35">
      <c r="A54" s="136" t="s">
        <v>174</v>
      </c>
      <c r="B54" s="169">
        <v>0</v>
      </c>
      <c r="C54" s="169">
        <v>114221</v>
      </c>
      <c r="D54" s="169">
        <v>0</v>
      </c>
      <c r="E54" s="169">
        <v>0</v>
      </c>
      <c r="F54" s="169">
        <v>0</v>
      </c>
      <c r="G54" s="169">
        <v>274153</v>
      </c>
      <c r="H54" s="184">
        <v>2402662</v>
      </c>
      <c r="I54" s="3" t="str">
        <f t="shared" si="52"/>
        <v>▲</v>
      </c>
      <c r="J54" s="137">
        <f t="shared" ref="J54" si="55">H54-G54</f>
        <v>2128509</v>
      </c>
      <c r="K54" s="86">
        <f t="shared" ref="K54" si="56">H54/G54-1</f>
        <v>7.7639456799670263</v>
      </c>
    </row>
    <row r="55" spans="1:18" ht="14.5" x14ac:dyDescent="0.35">
      <c r="A55" s="136" t="s">
        <v>182</v>
      </c>
      <c r="B55" s="169"/>
      <c r="C55" s="169"/>
      <c r="D55" s="169"/>
      <c r="E55" s="169"/>
      <c r="F55" s="169"/>
      <c r="G55" s="169"/>
      <c r="H55" s="184">
        <v>57882</v>
      </c>
      <c r="I55" s="3" t="str">
        <f t="shared" ref="I55" si="57">IF(H55+G55&gt;0,IF(H55&gt;G55,"▲",IF(H55=G55,"▬","▼")),IF(H55&gt;G55,"▼",IF(H55=G55,"▬","▲")))</f>
        <v>▲</v>
      </c>
      <c r="J55" s="137">
        <f t="shared" ref="J55" si="58">H55-G55</f>
        <v>57882</v>
      </c>
      <c r="K55" s="86" t="e">
        <f t="shared" ref="K55" si="59">H55/G55-1</f>
        <v>#DIV/0!</v>
      </c>
    </row>
    <row r="56" spans="1:18" ht="14.5" x14ac:dyDescent="0.35">
      <c r="A56" s="187" t="s">
        <v>101</v>
      </c>
      <c r="B56" s="188">
        <v>0</v>
      </c>
      <c r="C56" s="188">
        <v>0</v>
      </c>
      <c r="D56" s="188">
        <v>0</v>
      </c>
      <c r="E56" s="188">
        <v>0</v>
      </c>
      <c r="F56" s="188">
        <v>0</v>
      </c>
      <c r="G56" s="188">
        <v>0</v>
      </c>
      <c r="H56" s="188">
        <v>0</v>
      </c>
      <c r="I56" s="100" t="str">
        <f t="shared" si="52"/>
        <v>▬</v>
      </c>
      <c r="J56" s="186">
        <f t="shared" si="53"/>
        <v>0</v>
      </c>
      <c r="K56" s="189"/>
    </row>
    <row r="57" spans="1:18" ht="14.5" x14ac:dyDescent="0.35">
      <c r="A57" s="187" t="s">
        <v>102</v>
      </c>
      <c r="B57" s="188">
        <v>0</v>
      </c>
      <c r="C57" s="188">
        <v>0</v>
      </c>
      <c r="D57" s="188">
        <v>0</v>
      </c>
      <c r="E57" s="188">
        <v>0</v>
      </c>
      <c r="F57" s="188">
        <v>0</v>
      </c>
      <c r="G57" s="188">
        <v>46745700</v>
      </c>
      <c r="H57" s="188">
        <v>0</v>
      </c>
      <c r="I57" s="100" t="str">
        <f t="shared" si="52"/>
        <v>▼</v>
      </c>
      <c r="J57" s="186">
        <f t="shared" si="53"/>
        <v>-46745700</v>
      </c>
      <c r="K57" s="189"/>
    </row>
    <row r="58" spans="1:18" ht="14.5" x14ac:dyDescent="0.35">
      <c r="A58" s="187" t="s">
        <v>103</v>
      </c>
      <c r="B58" s="188">
        <v>0</v>
      </c>
      <c r="C58" s="188">
        <v>0</v>
      </c>
      <c r="D58" s="188">
        <v>0</v>
      </c>
      <c r="E58" s="188">
        <v>0</v>
      </c>
      <c r="F58" s="188">
        <v>0</v>
      </c>
      <c r="G58" s="188">
        <v>0</v>
      </c>
      <c r="H58" s="188">
        <v>0</v>
      </c>
      <c r="I58" s="100" t="str">
        <f t="shared" si="52"/>
        <v>▬</v>
      </c>
      <c r="J58" s="186">
        <f t="shared" si="53"/>
        <v>0</v>
      </c>
      <c r="K58" s="189"/>
    </row>
    <row r="59" spans="1:18" ht="14.5" x14ac:dyDescent="0.35">
      <c r="A59" s="187" t="s">
        <v>104</v>
      </c>
      <c r="B59" s="188">
        <v>157997.23000000001</v>
      </c>
      <c r="C59" s="188">
        <v>117360</v>
      </c>
      <c r="D59" s="188">
        <v>0</v>
      </c>
      <c r="E59" s="188">
        <v>0</v>
      </c>
      <c r="F59" s="188">
        <v>0</v>
      </c>
      <c r="G59" s="188">
        <v>0</v>
      </c>
      <c r="H59" s="188">
        <v>0</v>
      </c>
      <c r="I59" s="100" t="str">
        <f t="shared" si="52"/>
        <v>▬</v>
      </c>
      <c r="J59" s="186">
        <f t="shared" si="53"/>
        <v>0</v>
      </c>
      <c r="K59" s="189"/>
    </row>
    <row r="60" spans="1:18" ht="14.5" x14ac:dyDescent="0.35">
      <c r="A60" s="187" t="s">
        <v>105</v>
      </c>
      <c r="B60" s="188">
        <v>1000000</v>
      </c>
      <c r="C60" s="188">
        <v>1000000</v>
      </c>
      <c r="D60" s="188">
        <v>0</v>
      </c>
      <c r="E60" s="188">
        <v>0</v>
      </c>
      <c r="F60" s="188">
        <v>0</v>
      </c>
      <c r="G60" s="188">
        <v>0</v>
      </c>
      <c r="H60" s="188">
        <v>0</v>
      </c>
      <c r="I60" s="100" t="str">
        <f t="shared" si="52"/>
        <v>▬</v>
      </c>
      <c r="J60" s="186">
        <f t="shared" si="53"/>
        <v>0</v>
      </c>
      <c r="K60" s="189"/>
    </row>
    <row r="61" spans="1:18" ht="15" thickBot="1" x14ac:dyDescent="0.4">
      <c r="A61" s="187" t="s">
        <v>106</v>
      </c>
      <c r="B61" s="188">
        <v>0</v>
      </c>
      <c r="C61" s="188">
        <v>0</v>
      </c>
      <c r="D61" s="188">
        <v>0</v>
      </c>
      <c r="E61" s="188">
        <v>0</v>
      </c>
      <c r="F61" s="188">
        <v>0</v>
      </c>
      <c r="G61" s="188">
        <v>0</v>
      </c>
      <c r="H61" s="188">
        <v>0</v>
      </c>
      <c r="I61" s="100" t="str">
        <f t="shared" si="52"/>
        <v>▬</v>
      </c>
      <c r="J61" s="186">
        <f t="shared" si="53"/>
        <v>0</v>
      </c>
      <c r="K61" s="189"/>
    </row>
    <row r="62" spans="1:18" ht="14.5" thickBot="1" x14ac:dyDescent="0.4">
      <c r="A62" s="138"/>
      <c r="B62" s="6">
        <f t="shared" ref="B62:G62" si="60">SUM(B53:B61)</f>
        <v>1161649.23</v>
      </c>
      <c r="C62" s="7">
        <f t="shared" si="60"/>
        <v>1322967.8999999999</v>
      </c>
      <c r="D62" s="7">
        <f t="shared" si="60"/>
        <v>86398.37</v>
      </c>
      <c r="E62" s="7">
        <f t="shared" si="60"/>
        <v>105139</v>
      </c>
      <c r="F62" s="7">
        <f t="shared" si="60"/>
        <v>128719</v>
      </c>
      <c r="G62" s="7">
        <f t="shared" si="60"/>
        <v>47336583</v>
      </c>
      <c r="H62" s="109">
        <f>SUM(H53:H61)</f>
        <v>3444434</v>
      </c>
      <c r="I62" s="110" t="str">
        <f t="shared" si="52"/>
        <v>▼</v>
      </c>
      <c r="J62" s="139">
        <f t="shared" si="53"/>
        <v>-43892149</v>
      </c>
      <c r="K62" s="112">
        <f t="shared" ref="K62" si="61">H62/G62-1</f>
        <v>-0.92723526326351013</v>
      </c>
    </row>
    <row r="63" spans="1:18" x14ac:dyDescent="0.35">
      <c r="B63" s="91">
        <f t="shared" ref="B63:H63" si="62">B62-B13</f>
        <v>-0.63999999989755452</v>
      </c>
      <c r="C63" s="91">
        <f t="shared" si="62"/>
        <v>0.30000000004656613</v>
      </c>
      <c r="D63" s="91">
        <f t="shared" si="62"/>
        <v>0</v>
      </c>
      <c r="E63" s="91">
        <f t="shared" si="62"/>
        <v>-8.000000000174623E-2</v>
      </c>
      <c r="F63" s="91">
        <f t="shared" si="62"/>
        <v>0</v>
      </c>
      <c r="G63" s="91">
        <f t="shared" si="62"/>
        <v>0</v>
      </c>
      <c r="H63" s="91">
        <f t="shared" si="62"/>
        <v>0</v>
      </c>
    </row>
    <row r="64" spans="1:18" x14ac:dyDescent="0.35">
      <c r="A64" s="200" t="s">
        <v>171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</row>
    <row r="66" spans="1:7" ht="14.5" x14ac:dyDescent="0.35">
      <c r="A66" s="13" t="s">
        <v>24</v>
      </c>
    </row>
    <row r="68" spans="1:7" x14ac:dyDescent="0.35">
      <c r="B68" s="91"/>
      <c r="C68" s="91"/>
      <c r="D68" s="91"/>
      <c r="E68" s="91"/>
      <c r="F68" s="91"/>
      <c r="G68" s="91"/>
    </row>
  </sheetData>
  <mergeCells count="8">
    <mergeCell ref="I52:K52"/>
    <mergeCell ref="A64:K64"/>
    <mergeCell ref="U33:V33"/>
    <mergeCell ref="W33:Z33"/>
    <mergeCell ref="I3:K3"/>
    <mergeCell ref="I44:K44"/>
    <mergeCell ref="I25:K25"/>
    <mergeCell ref="I35:K35"/>
  </mergeCells>
  <conditionalFormatting sqref="A12">
    <cfRule type="duplicateValues" dxfId="21" priority="19"/>
  </conditionalFormatting>
  <conditionalFormatting sqref="A13 A4:A11">
    <cfRule type="duplicateValues" dxfId="20" priority="31"/>
  </conditionalFormatting>
  <conditionalFormatting sqref="A14">
    <cfRule type="duplicateValues" dxfId="19" priority="5"/>
  </conditionalFormatting>
  <conditionalFormatting sqref="A15">
    <cfRule type="duplicateValues" dxfId="18" priority="1"/>
  </conditionalFormatting>
  <conditionalFormatting sqref="A16">
    <cfRule type="duplicateValues" dxfId="17" priority="23"/>
  </conditionalFormatting>
  <conditionalFormatting sqref="A18">
    <cfRule type="duplicateValues" dxfId="16" priority="27"/>
  </conditionalFormatting>
  <conditionalFormatting sqref="A21">
    <cfRule type="duplicateValues" dxfId="15" priority="15"/>
  </conditionalFormatting>
  <conditionalFormatting sqref="I4:I21">
    <cfRule type="expression" dxfId="14" priority="2">
      <formula>H4=G4</formula>
    </cfRule>
    <cfRule type="expression" dxfId="13" priority="3">
      <formula>H4&lt;G4</formula>
    </cfRule>
    <cfRule type="expression" dxfId="12" priority="4">
      <formula>H4&gt;G4</formula>
    </cfRule>
  </conditionalFormatting>
  <conditionalFormatting sqref="I26:I31">
    <cfRule type="expression" dxfId="11" priority="47">
      <formula>H26=G26</formula>
    </cfRule>
    <cfRule type="expression" dxfId="10" priority="48">
      <formula>H26&lt;G26</formula>
    </cfRule>
    <cfRule type="expression" dxfId="9" priority="49">
      <formula>H26&gt;G26</formula>
    </cfRule>
  </conditionalFormatting>
  <conditionalFormatting sqref="I36:I40">
    <cfRule type="expression" dxfId="8" priority="35">
      <formula>H36=G36</formula>
    </cfRule>
    <cfRule type="expression" dxfId="7" priority="36">
      <formula>H36&lt;G36</formula>
    </cfRule>
    <cfRule type="expression" dxfId="6" priority="37">
      <formula>H36&gt;G36</formula>
    </cfRule>
  </conditionalFormatting>
  <conditionalFormatting sqref="I45:I47">
    <cfRule type="expression" dxfId="5" priority="41">
      <formula>H45=G45</formula>
    </cfRule>
    <cfRule type="expression" dxfId="4" priority="42">
      <formula>H45&lt;G45</formula>
    </cfRule>
    <cfRule type="expression" dxfId="3" priority="43">
      <formula>H45&gt;G45</formula>
    </cfRule>
  </conditionalFormatting>
  <conditionalFormatting sqref="I53:I62">
    <cfRule type="expression" dxfId="2" priority="9">
      <formula>H53=G53</formula>
    </cfRule>
    <cfRule type="expression" dxfId="1" priority="10">
      <formula>H53&lt;G53</formula>
    </cfRule>
    <cfRule type="expression" dxfId="0" priority="11">
      <formula>H53&gt;G53</formula>
    </cfRule>
  </conditionalFormatting>
  <dataValidations count="1">
    <dataValidation type="list" allowBlank="1" showInputMessage="1" showErrorMessage="1" sqref="W33" xr:uid="{70854E5F-4F70-4497-8F6B-A63507EF0992}">
      <formula1>"Mase plastice,Polimeri reciclati si compounduri,Alte sectoare productive,Alte activitati"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8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6" sqref="A6"/>
      <selection pane="bottomRight" sqref="A1:I1048576"/>
    </sheetView>
  </sheetViews>
  <sheetFormatPr defaultRowHeight="14.5" x14ac:dyDescent="0.35"/>
  <cols>
    <col min="1" max="1" width="50.7265625" style="163" customWidth="1"/>
    <col min="2" max="2" width="64" style="163" customWidth="1"/>
    <col min="3" max="3" width="13.453125" style="164" bestFit="1" customWidth="1"/>
    <col min="4" max="4" width="13.36328125" style="164" bestFit="1" customWidth="1"/>
    <col min="5" max="8" width="12.90625" style="164" bestFit="1" customWidth="1"/>
    <col min="9" max="9" width="13.08984375" style="164" bestFit="1" customWidth="1"/>
    <col min="10" max="238" width="9.08984375" style="17"/>
    <col min="239" max="239" width="56.36328125" style="17" customWidth="1"/>
    <col min="240" max="240" width="65" style="17" bestFit="1" customWidth="1"/>
    <col min="241" max="241" width="12.54296875" style="17" bestFit="1" customWidth="1"/>
    <col min="242" max="242" width="11.54296875" style="17" bestFit="1" customWidth="1"/>
    <col min="243" max="243" width="12.36328125" style="17" bestFit="1" customWidth="1"/>
    <col min="244" max="245" width="11.54296875" style="17" bestFit="1" customWidth="1"/>
    <col min="246" max="246" width="2.453125" style="17" customWidth="1"/>
    <col min="247" max="494" width="9.08984375" style="17"/>
    <col min="495" max="495" width="56.36328125" style="17" customWidth="1"/>
    <col min="496" max="496" width="65" style="17" bestFit="1" customWidth="1"/>
    <col min="497" max="497" width="12.54296875" style="17" bestFit="1" customWidth="1"/>
    <col min="498" max="498" width="11.54296875" style="17" bestFit="1" customWidth="1"/>
    <col min="499" max="499" width="12.36328125" style="17" bestFit="1" customWidth="1"/>
    <col min="500" max="501" width="11.54296875" style="17" bestFit="1" customWidth="1"/>
    <col min="502" max="502" width="2.453125" style="17" customWidth="1"/>
    <col min="503" max="750" width="9.08984375" style="17"/>
    <col min="751" max="751" width="56.36328125" style="17" customWidth="1"/>
    <col min="752" max="752" width="65" style="17" bestFit="1" customWidth="1"/>
    <col min="753" max="753" width="12.54296875" style="17" bestFit="1" customWidth="1"/>
    <col min="754" max="754" width="11.54296875" style="17" bestFit="1" customWidth="1"/>
    <col min="755" max="755" width="12.36328125" style="17" bestFit="1" customWidth="1"/>
    <col min="756" max="757" width="11.54296875" style="17" bestFit="1" customWidth="1"/>
    <col min="758" max="758" width="2.453125" style="17" customWidth="1"/>
    <col min="759" max="1006" width="9.08984375" style="17"/>
    <col min="1007" max="1007" width="56.36328125" style="17" customWidth="1"/>
    <col min="1008" max="1008" width="65" style="17" bestFit="1" customWidth="1"/>
    <col min="1009" max="1009" width="12.54296875" style="17" bestFit="1" customWidth="1"/>
    <col min="1010" max="1010" width="11.54296875" style="17" bestFit="1" customWidth="1"/>
    <col min="1011" max="1011" width="12.36328125" style="17" bestFit="1" customWidth="1"/>
    <col min="1012" max="1013" width="11.54296875" style="17" bestFit="1" customWidth="1"/>
    <col min="1014" max="1014" width="2.453125" style="17" customWidth="1"/>
    <col min="1015" max="1262" width="9.08984375" style="17"/>
    <col min="1263" max="1263" width="56.36328125" style="17" customWidth="1"/>
    <col min="1264" max="1264" width="65" style="17" bestFit="1" customWidth="1"/>
    <col min="1265" max="1265" width="12.54296875" style="17" bestFit="1" customWidth="1"/>
    <col min="1266" max="1266" width="11.54296875" style="17" bestFit="1" customWidth="1"/>
    <col min="1267" max="1267" width="12.36328125" style="17" bestFit="1" customWidth="1"/>
    <col min="1268" max="1269" width="11.54296875" style="17" bestFit="1" customWidth="1"/>
    <col min="1270" max="1270" width="2.453125" style="17" customWidth="1"/>
    <col min="1271" max="1518" width="9.08984375" style="17"/>
    <col min="1519" max="1519" width="56.36328125" style="17" customWidth="1"/>
    <col min="1520" max="1520" width="65" style="17" bestFit="1" customWidth="1"/>
    <col min="1521" max="1521" width="12.54296875" style="17" bestFit="1" customWidth="1"/>
    <col min="1522" max="1522" width="11.54296875" style="17" bestFit="1" customWidth="1"/>
    <col min="1523" max="1523" width="12.36328125" style="17" bestFit="1" customWidth="1"/>
    <col min="1524" max="1525" width="11.54296875" style="17" bestFit="1" customWidth="1"/>
    <col min="1526" max="1526" width="2.453125" style="17" customWidth="1"/>
    <col min="1527" max="1774" width="9.08984375" style="17"/>
    <col min="1775" max="1775" width="56.36328125" style="17" customWidth="1"/>
    <col min="1776" max="1776" width="65" style="17" bestFit="1" customWidth="1"/>
    <col min="1777" max="1777" width="12.54296875" style="17" bestFit="1" customWidth="1"/>
    <col min="1778" max="1778" width="11.54296875" style="17" bestFit="1" customWidth="1"/>
    <col min="1779" max="1779" width="12.36328125" style="17" bestFit="1" customWidth="1"/>
    <col min="1780" max="1781" width="11.54296875" style="17" bestFit="1" customWidth="1"/>
    <col min="1782" max="1782" width="2.453125" style="17" customWidth="1"/>
    <col min="1783" max="2030" width="9.08984375" style="17"/>
    <col min="2031" max="2031" width="56.36328125" style="17" customWidth="1"/>
    <col min="2032" max="2032" width="65" style="17" bestFit="1" customWidth="1"/>
    <col min="2033" max="2033" width="12.54296875" style="17" bestFit="1" customWidth="1"/>
    <col min="2034" max="2034" width="11.54296875" style="17" bestFit="1" customWidth="1"/>
    <col min="2035" max="2035" width="12.36328125" style="17" bestFit="1" customWidth="1"/>
    <col min="2036" max="2037" width="11.54296875" style="17" bestFit="1" customWidth="1"/>
    <col min="2038" max="2038" width="2.453125" style="17" customWidth="1"/>
    <col min="2039" max="2286" width="9.08984375" style="17"/>
    <col min="2287" max="2287" width="56.36328125" style="17" customWidth="1"/>
    <col min="2288" max="2288" width="65" style="17" bestFit="1" customWidth="1"/>
    <col min="2289" max="2289" width="12.54296875" style="17" bestFit="1" customWidth="1"/>
    <col min="2290" max="2290" width="11.54296875" style="17" bestFit="1" customWidth="1"/>
    <col min="2291" max="2291" width="12.36328125" style="17" bestFit="1" customWidth="1"/>
    <col min="2292" max="2293" width="11.54296875" style="17" bestFit="1" customWidth="1"/>
    <col min="2294" max="2294" width="2.453125" style="17" customWidth="1"/>
    <col min="2295" max="2542" width="9.08984375" style="17"/>
    <col min="2543" max="2543" width="56.36328125" style="17" customWidth="1"/>
    <col min="2544" max="2544" width="65" style="17" bestFit="1" customWidth="1"/>
    <col min="2545" max="2545" width="12.54296875" style="17" bestFit="1" customWidth="1"/>
    <col min="2546" max="2546" width="11.54296875" style="17" bestFit="1" customWidth="1"/>
    <col min="2547" max="2547" width="12.36328125" style="17" bestFit="1" customWidth="1"/>
    <col min="2548" max="2549" width="11.54296875" style="17" bestFit="1" customWidth="1"/>
    <col min="2550" max="2550" width="2.453125" style="17" customWidth="1"/>
    <col min="2551" max="2798" width="9.08984375" style="17"/>
    <col min="2799" max="2799" width="56.36328125" style="17" customWidth="1"/>
    <col min="2800" max="2800" width="65" style="17" bestFit="1" customWidth="1"/>
    <col min="2801" max="2801" width="12.54296875" style="17" bestFit="1" customWidth="1"/>
    <col min="2802" max="2802" width="11.54296875" style="17" bestFit="1" customWidth="1"/>
    <col min="2803" max="2803" width="12.36328125" style="17" bestFit="1" customWidth="1"/>
    <col min="2804" max="2805" width="11.54296875" style="17" bestFit="1" customWidth="1"/>
    <col min="2806" max="2806" width="2.453125" style="17" customWidth="1"/>
    <col min="2807" max="3054" width="9.08984375" style="17"/>
    <col min="3055" max="3055" width="56.36328125" style="17" customWidth="1"/>
    <col min="3056" max="3056" width="65" style="17" bestFit="1" customWidth="1"/>
    <col min="3057" max="3057" width="12.54296875" style="17" bestFit="1" customWidth="1"/>
    <col min="3058" max="3058" width="11.54296875" style="17" bestFit="1" customWidth="1"/>
    <col min="3059" max="3059" width="12.36328125" style="17" bestFit="1" customWidth="1"/>
    <col min="3060" max="3061" width="11.54296875" style="17" bestFit="1" customWidth="1"/>
    <col min="3062" max="3062" width="2.453125" style="17" customWidth="1"/>
    <col min="3063" max="3310" width="9.08984375" style="17"/>
    <col min="3311" max="3311" width="56.36328125" style="17" customWidth="1"/>
    <col min="3312" max="3312" width="65" style="17" bestFit="1" customWidth="1"/>
    <col min="3313" max="3313" width="12.54296875" style="17" bestFit="1" customWidth="1"/>
    <col min="3314" max="3314" width="11.54296875" style="17" bestFit="1" customWidth="1"/>
    <col min="3315" max="3315" width="12.36328125" style="17" bestFit="1" customWidth="1"/>
    <col min="3316" max="3317" width="11.54296875" style="17" bestFit="1" customWidth="1"/>
    <col min="3318" max="3318" width="2.453125" style="17" customWidth="1"/>
    <col min="3319" max="3566" width="9.08984375" style="17"/>
    <col min="3567" max="3567" width="56.36328125" style="17" customWidth="1"/>
    <col min="3568" max="3568" width="65" style="17" bestFit="1" customWidth="1"/>
    <col min="3569" max="3569" width="12.54296875" style="17" bestFit="1" customWidth="1"/>
    <col min="3570" max="3570" width="11.54296875" style="17" bestFit="1" customWidth="1"/>
    <col min="3571" max="3571" width="12.36328125" style="17" bestFit="1" customWidth="1"/>
    <col min="3572" max="3573" width="11.54296875" style="17" bestFit="1" customWidth="1"/>
    <col min="3574" max="3574" width="2.453125" style="17" customWidth="1"/>
    <col min="3575" max="3822" width="9.08984375" style="17"/>
    <col min="3823" max="3823" width="56.36328125" style="17" customWidth="1"/>
    <col min="3824" max="3824" width="65" style="17" bestFit="1" customWidth="1"/>
    <col min="3825" max="3825" width="12.54296875" style="17" bestFit="1" customWidth="1"/>
    <col min="3826" max="3826" width="11.54296875" style="17" bestFit="1" customWidth="1"/>
    <col min="3827" max="3827" width="12.36328125" style="17" bestFit="1" customWidth="1"/>
    <col min="3828" max="3829" width="11.54296875" style="17" bestFit="1" customWidth="1"/>
    <col min="3830" max="3830" width="2.453125" style="17" customWidth="1"/>
    <col min="3831" max="4078" width="9.08984375" style="17"/>
    <col min="4079" max="4079" width="56.36328125" style="17" customWidth="1"/>
    <col min="4080" max="4080" width="65" style="17" bestFit="1" customWidth="1"/>
    <col min="4081" max="4081" width="12.54296875" style="17" bestFit="1" customWidth="1"/>
    <col min="4082" max="4082" width="11.54296875" style="17" bestFit="1" customWidth="1"/>
    <col min="4083" max="4083" width="12.36328125" style="17" bestFit="1" customWidth="1"/>
    <col min="4084" max="4085" width="11.54296875" style="17" bestFit="1" customWidth="1"/>
    <col min="4086" max="4086" width="2.453125" style="17" customWidth="1"/>
    <col min="4087" max="4334" width="9.08984375" style="17"/>
    <col min="4335" max="4335" width="56.36328125" style="17" customWidth="1"/>
    <col min="4336" max="4336" width="65" style="17" bestFit="1" customWidth="1"/>
    <col min="4337" max="4337" width="12.54296875" style="17" bestFit="1" customWidth="1"/>
    <col min="4338" max="4338" width="11.54296875" style="17" bestFit="1" customWidth="1"/>
    <col min="4339" max="4339" width="12.36328125" style="17" bestFit="1" customWidth="1"/>
    <col min="4340" max="4341" width="11.54296875" style="17" bestFit="1" customWidth="1"/>
    <col min="4342" max="4342" width="2.453125" style="17" customWidth="1"/>
    <col min="4343" max="4590" width="9.08984375" style="17"/>
    <col min="4591" max="4591" width="56.36328125" style="17" customWidth="1"/>
    <col min="4592" max="4592" width="65" style="17" bestFit="1" customWidth="1"/>
    <col min="4593" max="4593" width="12.54296875" style="17" bestFit="1" customWidth="1"/>
    <col min="4594" max="4594" width="11.54296875" style="17" bestFit="1" customWidth="1"/>
    <col min="4595" max="4595" width="12.36328125" style="17" bestFit="1" customWidth="1"/>
    <col min="4596" max="4597" width="11.54296875" style="17" bestFit="1" customWidth="1"/>
    <col min="4598" max="4598" width="2.453125" style="17" customWidth="1"/>
    <col min="4599" max="4846" width="9.08984375" style="17"/>
    <col min="4847" max="4847" width="56.36328125" style="17" customWidth="1"/>
    <col min="4848" max="4848" width="65" style="17" bestFit="1" customWidth="1"/>
    <col min="4849" max="4849" width="12.54296875" style="17" bestFit="1" customWidth="1"/>
    <col min="4850" max="4850" width="11.54296875" style="17" bestFit="1" customWidth="1"/>
    <col min="4851" max="4851" width="12.36328125" style="17" bestFit="1" customWidth="1"/>
    <col min="4852" max="4853" width="11.54296875" style="17" bestFit="1" customWidth="1"/>
    <col min="4854" max="4854" width="2.453125" style="17" customWidth="1"/>
    <col min="4855" max="5102" width="9.08984375" style="17"/>
    <col min="5103" max="5103" width="56.36328125" style="17" customWidth="1"/>
    <col min="5104" max="5104" width="65" style="17" bestFit="1" customWidth="1"/>
    <col min="5105" max="5105" width="12.54296875" style="17" bestFit="1" customWidth="1"/>
    <col min="5106" max="5106" width="11.54296875" style="17" bestFit="1" customWidth="1"/>
    <col min="5107" max="5107" width="12.36328125" style="17" bestFit="1" customWidth="1"/>
    <col min="5108" max="5109" width="11.54296875" style="17" bestFit="1" customWidth="1"/>
    <col min="5110" max="5110" width="2.453125" style="17" customWidth="1"/>
    <col min="5111" max="5358" width="9.08984375" style="17"/>
    <col min="5359" max="5359" width="56.36328125" style="17" customWidth="1"/>
    <col min="5360" max="5360" width="65" style="17" bestFit="1" customWidth="1"/>
    <col min="5361" max="5361" width="12.54296875" style="17" bestFit="1" customWidth="1"/>
    <col min="5362" max="5362" width="11.54296875" style="17" bestFit="1" customWidth="1"/>
    <col min="5363" max="5363" width="12.36328125" style="17" bestFit="1" customWidth="1"/>
    <col min="5364" max="5365" width="11.54296875" style="17" bestFit="1" customWidth="1"/>
    <col min="5366" max="5366" width="2.453125" style="17" customWidth="1"/>
    <col min="5367" max="5614" width="9.08984375" style="17"/>
    <col min="5615" max="5615" width="56.36328125" style="17" customWidth="1"/>
    <col min="5616" max="5616" width="65" style="17" bestFit="1" customWidth="1"/>
    <col min="5617" max="5617" width="12.54296875" style="17" bestFit="1" customWidth="1"/>
    <col min="5618" max="5618" width="11.54296875" style="17" bestFit="1" customWidth="1"/>
    <col min="5619" max="5619" width="12.36328125" style="17" bestFit="1" customWidth="1"/>
    <col min="5620" max="5621" width="11.54296875" style="17" bestFit="1" customWidth="1"/>
    <col min="5622" max="5622" width="2.453125" style="17" customWidth="1"/>
    <col min="5623" max="5870" width="9.08984375" style="17"/>
    <col min="5871" max="5871" width="56.36328125" style="17" customWidth="1"/>
    <col min="5872" max="5872" width="65" style="17" bestFit="1" customWidth="1"/>
    <col min="5873" max="5873" width="12.54296875" style="17" bestFit="1" customWidth="1"/>
    <col min="5874" max="5874" width="11.54296875" style="17" bestFit="1" customWidth="1"/>
    <col min="5875" max="5875" width="12.36328125" style="17" bestFit="1" customWidth="1"/>
    <col min="5876" max="5877" width="11.54296875" style="17" bestFit="1" customWidth="1"/>
    <col min="5878" max="5878" width="2.453125" style="17" customWidth="1"/>
    <col min="5879" max="6126" width="9.08984375" style="17"/>
    <col min="6127" max="6127" width="56.36328125" style="17" customWidth="1"/>
    <col min="6128" max="6128" width="65" style="17" bestFit="1" customWidth="1"/>
    <col min="6129" max="6129" width="12.54296875" style="17" bestFit="1" customWidth="1"/>
    <col min="6130" max="6130" width="11.54296875" style="17" bestFit="1" customWidth="1"/>
    <col min="6131" max="6131" width="12.36328125" style="17" bestFit="1" customWidth="1"/>
    <col min="6132" max="6133" width="11.54296875" style="17" bestFit="1" customWidth="1"/>
    <col min="6134" max="6134" width="2.453125" style="17" customWidth="1"/>
    <col min="6135" max="6382" width="9.08984375" style="17"/>
    <col min="6383" max="6383" width="56.36328125" style="17" customWidth="1"/>
    <col min="6384" max="6384" width="65" style="17" bestFit="1" customWidth="1"/>
    <col min="6385" max="6385" width="12.54296875" style="17" bestFit="1" customWidth="1"/>
    <col min="6386" max="6386" width="11.54296875" style="17" bestFit="1" customWidth="1"/>
    <col min="6387" max="6387" width="12.36328125" style="17" bestFit="1" customWidth="1"/>
    <col min="6388" max="6389" width="11.54296875" style="17" bestFit="1" customWidth="1"/>
    <col min="6390" max="6390" width="2.453125" style="17" customWidth="1"/>
    <col min="6391" max="6638" width="9.08984375" style="17"/>
    <col min="6639" max="6639" width="56.36328125" style="17" customWidth="1"/>
    <col min="6640" max="6640" width="65" style="17" bestFit="1" customWidth="1"/>
    <col min="6641" max="6641" width="12.54296875" style="17" bestFit="1" customWidth="1"/>
    <col min="6642" max="6642" width="11.54296875" style="17" bestFit="1" customWidth="1"/>
    <col min="6643" max="6643" width="12.36328125" style="17" bestFit="1" customWidth="1"/>
    <col min="6644" max="6645" width="11.54296875" style="17" bestFit="1" customWidth="1"/>
    <col min="6646" max="6646" width="2.453125" style="17" customWidth="1"/>
    <col min="6647" max="6894" width="9.08984375" style="17"/>
    <col min="6895" max="6895" width="56.36328125" style="17" customWidth="1"/>
    <col min="6896" max="6896" width="65" style="17" bestFit="1" customWidth="1"/>
    <col min="6897" max="6897" width="12.54296875" style="17" bestFit="1" customWidth="1"/>
    <col min="6898" max="6898" width="11.54296875" style="17" bestFit="1" customWidth="1"/>
    <col min="6899" max="6899" width="12.36328125" style="17" bestFit="1" customWidth="1"/>
    <col min="6900" max="6901" width="11.54296875" style="17" bestFit="1" customWidth="1"/>
    <col min="6902" max="6902" width="2.453125" style="17" customWidth="1"/>
    <col min="6903" max="7150" width="9.08984375" style="17"/>
    <col min="7151" max="7151" width="56.36328125" style="17" customWidth="1"/>
    <col min="7152" max="7152" width="65" style="17" bestFit="1" customWidth="1"/>
    <col min="7153" max="7153" width="12.54296875" style="17" bestFit="1" customWidth="1"/>
    <col min="7154" max="7154" width="11.54296875" style="17" bestFit="1" customWidth="1"/>
    <col min="7155" max="7155" width="12.36328125" style="17" bestFit="1" customWidth="1"/>
    <col min="7156" max="7157" width="11.54296875" style="17" bestFit="1" customWidth="1"/>
    <col min="7158" max="7158" width="2.453125" style="17" customWidth="1"/>
    <col min="7159" max="7406" width="9.08984375" style="17"/>
    <col min="7407" max="7407" width="56.36328125" style="17" customWidth="1"/>
    <col min="7408" max="7408" width="65" style="17" bestFit="1" customWidth="1"/>
    <col min="7409" max="7409" width="12.54296875" style="17" bestFit="1" customWidth="1"/>
    <col min="7410" max="7410" width="11.54296875" style="17" bestFit="1" customWidth="1"/>
    <col min="7411" max="7411" width="12.36328125" style="17" bestFit="1" customWidth="1"/>
    <col min="7412" max="7413" width="11.54296875" style="17" bestFit="1" customWidth="1"/>
    <col min="7414" max="7414" width="2.453125" style="17" customWidth="1"/>
    <col min="7415" max="7662" width="9.08984375" style="17"/>
    <col min="7663" max="7663" width="56.36328125" style="17" customWidth="1"/>
    <col min="7664" max="7664" width="65" style="17" bestFit="1" customWidth="1"/>
    <col min="7665" max="7665" width="12.54296875" style="17" bestFit="1" customWidth="1"/>
    <col min="7666" max="7666" width="11.54296875" style="17" bestFit="1" customWidth="1"/>
    <col min="7667" max="7667" width="12.36328125" style="17" bestFit="1" customWidth="1"/>
    <col min="7668" max="7669" width="11.54296875" style="17" bestFit="1" customWidth="1"/>
    <col min="7670" max="7670" width="2.453125" style="17" customWidth="1"/>
    <col min="7671" max="7918" width="9.08984375" style="17"/>
    <col min="7919" max="7919" width="56.36328125" style="17" customWidth="1"/>
    <col min="7920" max="7920" width="65" style="17" bestFit="1" customWidth="1"/>
    <col min="7921" max="7921" width="12.54296875" style="17" bestFit="1" customWidth="1"/>
    <col min="7922" max="7922" width="11.54296875" style="17" bestFit="1" customWidth="1"/>
    <col min="7923" max="7923" width="12.36328125" style="17" bestFit="1" customWidth="1"/>
    <col min="7924" max="7925" width="11.54296875" style="17" bestFit="1" customWidth="1"/>
    <col min="7926" max="7926" width="2.453125" style="17" customWidth="1"/>
    <col min="7927" max="8174" width="9.08984375" style="17"/>
    <col min="8175" max="8175" width="56.36328125" style="17" customWidth="1"/>
    <col min="8176" max="8176" width="65" style="17" bestFit="1" customWidth="1"/>
    <col min="8177" max="8177" width="12.54296875" style="17" bestFit="1" customWidth="1"/>
    <col min="8178" max="8178" width="11.54296875" style="17" bestFit="1" customWidth="1"/>
    <col min="8179" max="8179" width="12.36328125" style="17" bestFit="1" customWidth="1"/>
    <col min="8180" max="8181" width="11.54296875" style="17" bestFit="1" customWidth="1"/>
    <col min="8182" max="8182" width="2.453125" style="17" customWidth="1"/>
    <col min="8183" max="8430" width="9.08984375" style="17"/>
    <col min="8431" max="8431" width="56.36328125" style="17" customWidth="1"/>
    <col min="8432" max="8432" width="65" style="17" bestFit="1" customWidth="1"/>
    <col min="8433" max="8433" width="12.54296875" style="17" bestFit="1" customWidth="1"/>
    <col min="8434" max="8434" width="11.54296875" style="17" bestFit="1" customWidth="1"/>
    <col min="8435" max="8435" width="12.36328125" style="17" bestFit="1" customWidth="1"/>
    <col min="8436" max="8437" width="11.54296875" style="17" bestFit="1" customWidth="1"/>
    <col min="8438" max="8438" width="2.453125" style="17" customWidth="1"/>
    <col min="8439" max="8686" width="9.08984375" style="17"/>
    <col min="8687" max="8687" width="56.36328125" style="17" customWidth="1"/>
    <col min="8688" max="8688" width="65" style="17" bestFit="1" customWidth="1"/>
    <col min="8689" max="8689" width="12.54296875" style="17" bestFit="1" customWidth="1"/>
    <col min="8690" max="8690" width="11.54296875" style="17" bestFit="1" customWidth="1"/>
    <col min="8691" max="8691" width="12.36328125" style="17" bestFit="1" customWidth="1"/>
    <col min="8692" max="8693" width="11.54296875" style="17" bestFit="1" customWidth="1"/>
    <col min="8694" max="8694" width="2.453125" style="17" customWidth="1"/>
    <col min="8695" max="8942" width="9.08984375" style="17"/>
    <col min="8943" max="8943" width="56.36328125" style="17" customWidth="1"/>
    <col min="8944" max="8944" width="65" style="17" bestFit="1" customWidth="1"/>
    <col min="8945" max="8945" width="12.54296875" style="17" bestFit="1" customWidth="1"/>
    <col min="8946" max="8946" width="11.54296875" style="17" bestFit="1" customWidth="1"/>
    <col min="8947" max="8947" width="12.36328125" style="17" bestFit="1" customWidth="1"/>
    <col min="8948" max="8949" width="11.54296875" style="17" bestFit="1" customWidth="1"/>
    <col min="8950" max="8950" width="2.453125" style="17" customWidth="1"/>
    <col min="8951" max="9198" width="9.08984375" style="17"/>
    <col min="9199" max="9199" width="56.36328125" style="17" customWidth="1"/>
    <col min="9200" max="9200" width="65" style="17" bestFit="1" customWidth="1"/>
    <col min="9201" max="9201" width="12.54296875" style="17" bestFit="1" customWidth="1"/>
    <col min="9202" max="9202" width="11.54296875" style="17" bestFit="1" customWidth="1"/>
    <col min="9203" max="9203" width="12.36328125" style="17" bestFit="1" customWidth="1"/>
    <col min="9204" max="9205" width="11.54296875" style="17" bestFit="1" customWidth="1"/>
    <col min="9206" max="9206" width="2.453125" style="17" customWidth="1"/>
    <col min="9207" max="9454" width="9.08984375" style="17"/>
    <col min="9455" max="9455" width="56.36328125" style="17" customWidth="1"/>
    <col min="9456" max="9456" width="65" style="17" bestFit="1" customWidth="1"/>
    <col min="9457" max="9457" width="12.54296875" style="17" bestFit="1" customWidth="1"/>
    <col min="9458" max="9458" width="11.54296875" style="17" bestFit="1" customWidth="1"/>
    <col min="9459" max="9459" width="12.36328125" style="17" bestFit="1" customWidth="1"/>
    <col min="9460" max="9461" width="11.54296875" style="17" bestFit="1" customWidth="1"/>
    <col min="9462" max="9462" width="2.453125" style="17" customWidth="1"/>
    <col min="9463" max="9710" width="9.08984375" style="17"/>
    <col min="9711" max="9711" width="56.36328125" style="17" customWidth="1"/>
    <col min="9712" max="9712" width="65" style="17" bestFit="1" customWidth="1"/>
    <col min="9713" max="9713" width="12.54296875" style="17" bestFit="1" customWidth="1"/>
    <col min="9714" max="9714" width="11.54296875" style="17" bestFit="1" customWidth="1"/>
    <col min="9715" max="9715" width="12.36328125" style="17" bestFit="1" customWidth="1"/>
    <col min="9716" max="9717" width="11.54296875" style="17" bestFit="1" customWidth="1"/>
    <col min="9718" max="9718" width="2.453125" style="17" customWidth="1"/>
    <col min="9719" max="9966" width="9.08984375" style="17"/>
    <col min="9967" max="9967" width="56.36328125" style="17" customWidth="1"/>
    <col min="9968" max="9968" width="65" style="17" bestFit="1" customWidth="1"/>
    <col min="9969" max="9969" width="12.54296875" style="17" bestFit="1" customWidth="1"/>
    <col min="9970" max="9970" width="11.54296875" style="17" bestFit="1" customWidth="1"/>
    <col min="9971" max="9971" width="12.36328125" style="17" bestFit="1" customWidth="1"/>
    <col min="9972" max="9973" width="11.54296875" style="17" bestFit="1" customWidth="1"/>
    <col min="9974" max="9974" width="2.453125" style="17" customWidth="1"/>
    <col min="9975" max="10222" width="9.08984375" style="17"/>
    <col min="10223" max="10223" width="56.36328125" style="17" customWidth="1"/>
    <col min="10224" max="10224" width="65" style="17" bestFit="1" customWidth="1"/>
    <col min="10225" max="10225" width="12.54296875" style="17" bestFit="1" customWidth="1"/>
    <col min="10226" max="10226" width="11.54296875" style="17" bestFit="1" customWidth="1"/>
    <col min="10227" max="10227" width="12.36328125" style="17" bestFit="1" customWidth="1"/>
    <col min="10228" max="10229" width="11.54296875" style="17" bestFit="1" customWidth="1"/>
    <col min="10230" max="10230" width="2.453125" style="17" customWidth="1"/>
    <col min="10231" max="10478" width="9.08984375" style="17"/>
    <col min="10479" max="10479" width="56.36328125" style="17" customWidth="1"/>
    <col min="10480" max="10480" width="65" style="17" bestFit="1" customWidth="1"/>
    <col min="10481" max="10481" width="12.54296875" style="17" bestFit="1" customWidth="1"/>
    <col min="10482" max="10482" width="11.54296875" style="17" bestFit="1" customWidth="1"/>
    <col min="10483" max="10483" width="12.36328125" style="17" bestFit="1" customWidth="1"/>
    <col min="10484" max="10485" width="11.54296875" style="17" bestFit="1" customWidth="1"/>
    <col min="10486" max="10486" width="2.453125" style="17" customWidth="1"/>
    <col min="10487" max="10734" width="9.08984375" style="17"/>
    <col min="10735" max="10735" width="56.36328125" style="17" customWidth="1"/>
    <col min="10736" max="10736" width="65" style="17" bestFit="1" customWidth="1"/>
    <col min="10737" max="10737" width="12.54296875" style="17" bestFit="1" customWidth="1"/>
    <col min="10738" max="10738" width="11.54296875" style="17" bestFit="1" customWidth="1"/>
    <col min="10739" max="10739" width="12.36328125" style="17" bestFit="1" customWidth="1"/>
    <col min="10740" max="10741" width="11.54296875" style="17" bestFit="1" customWidth="1"/>
    <col min="10742" max="10742" width="2.453125" style="17" customWidth="1"/>
    <col min="10743" max="10990" width="9.08984375" style="17"/>
    <col min="10991" max="10991" width="56.36328125" style="17" customWidth="1"/>
    <col min="10992" max="10992" width="65" style="17" bestFit="1" customWidth="1"/>
    <col min="10993" max="10993" width="12.54296875" style="17" bestFit="1" customWidth="1"/>
    <col min="10994" max="10994" width="11.54296875" style="17" bestFit="1" customWidth="1"/>
    <col min="10995" max="10995" width="12.36328125" style="17" bestFit="1" customWidth="1"/>
    <col min="10996" max="10997" width="11.54296875" style="17" bestFit="1" customWidth="1"/>
    <col min="10998" max="10998" width="2.453125" style="17" customWidth="1"/>
    <col min="10999" max="11246" width="9.08984375" style="17"/>
    <col min="11247" max="11247" width="56.36328125" style="17" customWidth="1"/>
    <col min="11248" max="11248" width="65" style="17" bestFit="1" customWidth="1"/>
    <col min="11249" max="11249" width="12.54296875" style="17" bestFit="1" customWidth="1"/>
    <col min="11250" max="11250" width="11.54296875" style="17" bestFit="1" customWidth="1"/>
    <col min="11251" max="11251" width="12.36328125" style="17" bestFit="1" customWidth="1"/>
    <col min="11252" max="11253" width="11.54296875" style="17" bestFit="1" customWidth="1"/>
    <col min="11254" max="11254" width="2.453125" style="17" customWidth="1"/>
    <col min="11255" max="11502" width="9.08984375" style="17"/>
    <col min="11503" max="11503" width="56.36328125" style="17" customWidth="1"/>
    <col min="11504" max="11504" width="65" style="17" bestFit="1" customWidth="1"/>
    <col min="11505" max="11505" width="12.54296875" style="17" bestFit="1" customWidth="1"/>
    <col min="11506" max="11506" width="11.54296875" style="17" bestFit="1" customWidth="1"/>
    <col min="11507" max="11507" width="12.36328125" style="17" bestFit="1" customWidth="1"/>
    <col min="11508" max="11509" width="11.54296875" style="17" bestFit="1" customWidth="1"/>
    <col min="11510" max="11510" width="2.453125" style="17" customWidth="1"/>
    <col min="11511" max="11758" width="9.08984375" style="17"/>
    <col min="11759" max="11759" width="56.36328125" style="17" customWidth="1"/>
    <col min="11760" max="11760" width="65" style="17" bestFit="1" customWidth="1"/>
    <col min="11761" max="11761" width="12.54296875" style="17" bestFit="1" customWidth="1"/>
    <col min="11762" max="11762" width="11.54296875" style="17" bestFit="1" customWidth="1"/>
    <col min="11763" max="11763" width="12.36328125" style="17" bestFit="1" customWidth="1"/>
    <col min="11764" max="11765" width="11.54296875" style="17" bestFit="1" customWidth="1"/>
    <col min="11766" max="11766" width="2.453125" style="17" customWidth="1"/>
    <col min="11767" max="12014" width="9.08984375" style="17"/>
    <col min="12015" max="12015" width="56.36328125" style="17" customWidth="1"/>
    <col min="12016" max="12016" width="65" style="17" bestFit="1" customWidth="1"/>
    <col min="12017" max="12017" width="12.54296875" style="17" bestFit="1" customWidth="1"/>
    <col min="12018" max="12018" width="11.54296875" style="17" bestFit="1" customWidth="1"/>
    <col min="12019" max="12019" width="12.36328125" style="17" bestFit="1" customWidth="1"/>
    <col min="12020" max="12021" width="11.54296875" style="17" bestFit="1" customWidth="1"/>
    <col min="12022" max="12022" width="2.453125" style="17" customWidth="1"/>
    <col min="12023" max="12270" width="9.08984375" style="17"/>
    <col min="12271" max="12271" width="56.36328125" style="17" customWidth="1"/>
    <col min="12272" max="12272" width="65" style="17" bestFit="1" customWidth="1"/>
    <col min="12273" max="12273" width="12.54296875" style="17" bestFit="1" customWidth="1"/>
    <col min="12274" max="12274" width="11.54296875" style="17" bestFit="1" customWidth="1"/>
    <col min="12275" max="12275" width="12.36328125" style="17" bestFit="1" customWidth="1"/>
    <col min="12276" max="12277" width="11.54296875" style="17" bestFit="1" customWidth="1"/>
    <col min="12278" max="12278" width="2.453125" style="17" customWidth="1"/>
    <col min="12279" max="12526" width="9.08984375" style="17"/>
    <col min="12527" max="12527" width="56.36328125" style="17" customWidth="1"/>
    <col min="12528" max="12528" width="65" style="17" bestFit="1" customWidth="1"/>
    <col min="12529" max="12529" width="12.54296875" style="17" bestFit="1" customWidth="1"/>
    <col min="12530" max="12530" width="11.54296875" style="17" bestFit="1" customWidth="1"/>
    <col min="12531" max="12531" width="12.36328125" style="17" bestFit="1" customWidth="1"/>
    <col min="12532" max="12533" width="11.54296875" style="17" bestFit="1" customWidth="1"/>
    <col min="12534" max="12534" width="2.453125" style="17" customWidth="1"/>
    <col min="12535" max="12782" width="9.08984375" style="17"/>
    <col min="12783" max="12783" width="56.36328125" style="17" customWidth="1"/>
    <col min="12784" max="12784" width="65" style="17" bestFit="1" customWidth="1"/>
    <col min="12785" max="12785" width="12.54296875" style="17" bestFit="1" customWidth="1"/>
    <col min="12786" max="12786" width="11.54296875" style="17" bestFit="1" customWidth="1"/>
    <col min="12787" max="12787" width="12.36328125" style="17" bestFit="1" customWidth="1"/>
    <col min="12788" max="12789" width="11.54296875" style="17" bestFit="1" customWidth="1"/>
    <col min="12790" max="12790" width="2.453125" style="17" customWidth="1"/>
    <col min="12791" max="13038" width="9.08984375" style="17"/>
    <col min="13039" max="13039" width="56.36328125" style="17" customWidth="1"/>
    <col min="13040" max="13040" width="65" style="17" bestFit="1" customWidth="1"/>
    <col min="13041" max="13041" width="12.54296875" style="17" bestFit="1" customWidth="1"/>
    <col min="13042" max="13042" width="11.54296875" style="17" bestFit="1" customWidth="1"/>
    <col min="13043" max="13043" width="12.36328125" style="17" bestFit="1" customWidth="1"/>
    <col min="13044" max="13045" width="11.54296875" style="17" bestFit="1" customWidth="1"/>
    <col min="13046" max="13046" width="2.453125" style="17" customWidth="1"/>
    <col min="13047" max="13294" width="9.08984375" style="17"/>
    <col min="13295" max="13295" width="56.36328125" style="17" customWidth="1"/>
    <col min="13296" max="13296" width="65" style="17" bestFit="1" customWidth="1"/>
    <col min="13297" max="13297" width="12.54296875" style="17" bestFit="1" customWidth="1"/>
    <col min="13298" max="13298" width="11.54296875" style="17" bestFit="1" customWidth="1"/>
    <col min="13299" max="13299" width="12.36328125" style="17" bestFit="1" customWidth="1"/>
    <col min="13300" max="13301" width="11.54296875" style="17" bestFit="1" customWidth="1"/>
    <col min="13302" max="13302" width="2.453125" style="17" customWidth="1"/>
    <col min="13303" max="13550" width="9.08984375" style="17"/>
    <col min="13551" max="13551" width="56.36328125" style="17" customWidth="1"/>
    <col min="13552" max="13552" width="65" style="17" bestFit="1" customWidth="1"/>
    <col min="13553" max="13553" width="12.54296875" style="17" bestFit="1" customWidth="1"/>
    <col min="13554" max="13554" width="11.54296875" style="17" bestFit="1" customWidth="1"/>
    <col min="13555" max="13555" width="12.36328125" style="17" bestFit="1" customWidth="1"/>
    <col min="13556" max="13557" width="11.54296875" style="17" bestFit="1" customWidth="1"/>
    <col min="13558" max="13558" width="2.453125" style="17" customWidth="1"/>
    <col min="13559" max="13806" width="9.08984375" style="17"/>
    <col min="13807" max="13807" width="56.36328125" style="17" customWidth="1"/>
    <col min="13808" max="13808" width="65" style="17" bestFit="1" customWidth="1"/>
    <col min="13809" max="13809" width="12.54296875" style="17" bestFit="1" customWidth="1"/>
    <col min="13810" max="13810" width="11.54296875" style="17" bestFit="1" customWidth="1"/>
    <col min="13811" max="13811" width="12.36328125" style="17" bestFit="1" customWidth="1"/>
    <col min="13812" max="13813" width="11.54296875" style="17" bestFit="1" customWidth="1"/>
    <col min="13814" max="13814" width="2.453125" style="17" customWidth="1"/>
    <col min="13815" max="14062" width="9.08984375" style="17"/>
    <col min="14063" max="14063" width="56.36328125" style="17" customWidth="1"/>
    <col min="14064" max="14064" width="65" style="17" bestFit="1" customWidth="1"/>
    <col min="14065" max="14065" width="12.54296875" style="17" bestFit="1" customWidth="1"/>
    <col min="14066" max="14066" width="11.54296875" style="17" bestFit="1" customWidth="1"/>
    <col min="14067" max="14067" width="12.36328125" style="17" bestFit="1" customWidth="1"/>
    <col min="14068" max="14069" width="11.54296875" style="17" bestFit="1" customWidth="1"/>
    <col min="14070" max="14070" width="2.453125" style="17" customWidth="1"/>
    <col min="14071" max="14318" width="9.08984375" style="17"/>
    <col min="14319" max="14319" width="56.36328125" style="17" customWidth="1"/>
    <col min="14320" max="14320" width="65" style="17" bestFit="1" customWidth="1"/>
    <col min="14321" max="14321" width="12.54296875" style="17" bestFit="1" customWidth="1"/>
    <col min="14322" max="14322" width="11.54296875" style="17" bestFit="1" customWidth="1"/>
    <col min="14323" max="14323" width="12.36328125" style="17" bestFit="1" customWidth="1"/>
    <col min="14324" max="14325" width="11.54296875" style="17" bestFit="1" customWidth="1"/>
    <col min="14326" max="14326" width="2.453125" style="17" customWidth="1"/>
    <col min="14327" max="14574" width="9.08984375" style="17"/>
    <col min="14575" max="14575" width="56.36328125" style="17" customWidth="1"/>
    <col min="14576" max="14576" width="65" style="17" bestFit="1" customWidth="1"/>
    <col min="14577" max="14577" width="12.54296875" style="17" bestFit="1" customWidth="1"/>
    <col min="14578" max="14578" width="11.54296875" style="17" bestFit="1" customWidth="1"/>
    <col min="14579" max="14579" width="12.36328125" style="17" bestFit="1" customWidth="1"/>
    <col min="14580" max="14581" width="11.54296875" style="17" bestFit="1" customWidth="1"/>
    <col min="14582" max="14582" width="2.453125" style="17" customWidth="1"/>
    <col min="14583" max="14830" width="9.08984375" style="17"/>
    <col min="14831" max="14831" width="56.36328125" style="17" customWidth="1"/>
    <col min="14832" max="14832" width="65" style="17" bestFit="1" customWidth="1"/>
    <col min="14833" max="14833" width="12.54296875" style="17" bestFit="1" customWidth="1"/>
    <col min="14834" max="14834" width="11.54296875" style="17" bestFit="1" customWidth="1"/>
    <col min="14835" max="14835" width="12.36328125" style="17" bestFit="1" customWidth="1"/>
    <col min="14836" max="14837" width="11.54296875" style="17" bestFit="1" customWidth="1"/>
    <col min="14838" max="14838" width="2.453125" style="17" customWidth="1"/>
    <col min="14839" max="15086" width="9.08984375" style="17"/>
    <col min="15087" max="15087" width="56.36328125" style="17" customWidth="1"/>
    <col min="15088" max="15088" width="65" style="17" bestFit="1" customWidth="1"/>
    <col min="15089" max="15089" width="12.54296875" style="17" bestFit="1" customWidth="1"/>
    <col min="15090" max="15090" width="11.54296875" style="17" bestFit="1" customWidth="1"/>
    <col min="15091" max="15091" width="12.36328125" style="17" bestFit="1" customWidth="1"/>
    <col min="15092" max="15093" width="11.54296875" style="17" bestFit="1" customWidth="1"/>
    <col min="15094" max="15094" width="2.453125" style="17" customWidth="1"/>
    <col min="15095" max="15342" width="9.08984375" style="17"/>
    <col min="15343" max="15343" width="56.36328125" style="17" customWidth="1"/>
    <col min="15344" max="15344" width="65" style="17" bestFit="1" customWidth="1"/>
    <col min="15345" max="15345" width="12.54296875" style="17" bestFit="1" customWidth="1"/>
    <col min="15346" max="15346" width="11.54296875" style="17" bestFit="1" customWidth="1"/>
    <col min="15347" max="15347" width="12.36328125" style="17" bestFit="1" customWidth="1"/>
    <col min="15348" max="15349" width="11.54296875" style="17" bestFit="1" customWidth="1"/>
    <col min="15350" max="15350" width="2.453125" style="17" customWidth="1"/>
    <col min="15351" max="15598" width="9.08984375" style="17"/>
    <col min="15599" max="15599" width="56.36328125" style="17" customWidth="1"/>
    <col min="15600" max="15600" width="65" style="17" bestFit="1" customWidth="1"/>
    <col min="15601" max="15601" width="12.54296875" style="17" bestFit="1" customWidth="1"/>
    <col min="15602" max="15602" width="11.54296875" style="17" bestFit="1" customWidth="1"/>
    <col min="15603" max="15603" width="12.36328125" style="17" bestFit="1" customWidth="1"/>
    <col min="15604" max="15605" width="11.54296875" style="17" bestFit="1" customWidth="1"/>
    <col min="15606" max="15606" width="2.453125" style="17" customWidth="1"/>
    <col min="15607" max="15854" width="9.08984375" style="17"/>
    <col min="15855" max="15855" width="56.36328125" style="17" customWidth="1"/>
    <col min="15856" max="15856" width="65" style="17" bestFit="1" customWidth="1"/>
    <col min="15857" max="15857" width="12.54296875" style="17" bestFit="1" customWidth="1"/>
    <col min="15858" max="15858" width="11.54296875" style="17" bestFit="1" customWidth="1"/>
    <col min="15859" max="15859" width="12.36328125" style="17" bestFit="1" customWidth="1"/>
    <col min="15860" max="15861" width="11.54296875" style="17" bestFit="1" customWidth="1"/>
    <col min="15862" max="15862" width="2.453125" style="17" customWidth="1"/>
    <col min="15863" max="16110" width="9.08984375" style="17"/>
    <col min="16111" max="16111" width="56.36328125" style="17" customWidth="1"/>
    <col min="16112" max="16112" width="65" style="17" bestFit="1" customWidth="1"/>
    <col min="16113" max="16113" width="12.54296875" style="17" bestFit="1" customWidth="1"/>
    <col min="16114" max="16114" width="11.54296875" style="17" bestFit="1" customWidth="1"/>
    <col min="16115" max="16115" width="12.36328125" style="17" bestFit="1" customWidth="1"/>
    <col min="16116" max="16117" width="11.54296875" style="17" bestFit="1" customWidth="1"/>
    <col min="16118" max="16118" width="2.453125" style="17" customWidth="1"/>
    <col min="16119" max="16365" width="9.08984375" style="17"/>
    <col min="16366" max="16384" width="9.08984375" style="17" customWidth="1"/>
  </cols>
  <sheetData>
    <row r="1" spans="1:9" ht="15" thickBot="1" x14ac:dyDescent="0.4">
      <c r="A1" s="252"/>
      <c r="B1" s="252"/>
      <c r="I1" s="241"/>
    </row>
    <row r="2" spans="1:9" s="46" customFormat="1" ht="25.75" customHeight="1" thickBot="1" x14ac:dyDescent="0.4">
      <c r="A2" s="244" t="s">
        <v>65</v>
      </c>
      <c r="B2" s="244"/>
      <c r="C2" s="245">
        <v>2017</v>
      </c>
      <c r="D2" s="245">
        <f>C2+1</f>
        <v>2018</v>
      </c>
      <c r="E2" s="245">
        <f t="shared" ref="E2:I2" si="0">D2+1</f>
        <v>2019</v>
      </c>
      <c r="F2" s="245">
        <f t="shared" si="0"/>
        <v>2020</v>
      </c>
      <c r="G2" s="245">
        <f t="shared" si="0"/>
        <v>2021</v>
      </c>
      <c r="H2" s="245">
        <f t="shared" si="0"/>
        <v>2022</v>
      </c>
      <c r="I2" s="245">
        <f t="shared" si="0"/>
        <v>2023</v>
      </c>
    </row>
    <row r="3" spans="1:9" ht="9" customHeight="1" thickBot="1" x14ac:dyDescent="0.4"/>
    <row r="4" spans="1:9" ht="15" thickBot="1" x14ac:dyDescent="0.4">
      <c r="A4" s="242" t="s">
        <v>188</v>
      </c>
      <c r="B4" s="242" t="s">
        <v>189</v>
      </c>
      <c r="C4" s="47">
        <v>4798066</v>
      </c>
      <c r="D4" s="47">
        <v>4800356</v>
      </c>
      <c r="E4" s="47">
        <v>370097.95999998227</v>
      </c>
      <c r="F4" s="47">
        <v>869104.43999996176</v>
      </c>
      <c r="G4" s="47">
        <v>-1447458</v>
      </c>
      <c r="H4" s="47">
        <v>51471690</v>
      </c>
      <c r="I4" s="246">
        <v>3313809</v>
      </c>
    </row>
    <row r="5" spans="1:9" x14ac:dyDescent="0.35">
      <c r="A5" s="252" t="s">
        <v>190</v>
      </c>
      <c r="B5" s="252" t="s">
        <v>191</v>
      </c>
      <c r="C5" s="257">
        <v>940272</v>
      </c>
      <c r="D5" s="257">
        <v>-1609945</v>
      </c>
      <c r="E5" s="257">
        <v>217442</v>
      </c>
      <c r="F5" s="257">
        <v>238297</v>
      </c>
      <c r="G5" s="257">
        <v>889087</v>
      </c>
      <c r="H5" s="257">
        <v>912071</v>
      </c>
      <c r="I5" s="261">
        <v>182523</v>
      </c>
    </row>
    <row r="6" spans="1:9" x14ac:dyDescent="0.35">
      <c r="A6" s="252" t="s">
        <v>192</v>
      </c>
      <c r="B6" s="252" t="s">
        <v>193</v>
      </c>
      <c r="C6" s="257">
        <v>10706926.199999999</v>
      </c>
      <c r="D6" s="257">
        <v>10696166.879999999</v>
      </c>
      <c r="E6" s="257">
        <v>10634489</v>
      </c>
      <c r="F6" s="257">
        <v>10202832.52</v>
      </c>
      <c r="G6" s="257">
        <v>9977583</v>
      </c>
      <c r="H6" s="257">
        <v>9609158</v>
      </c>
      <c r="I6" s="261">
        <v>9392805</v>
      </c>
    </row>
    <row r="7" spans="1:9" x14ac:dyDescent="0.35">
      <c r="A7" s="252" t="s">
        <v>194</v>
      </c>
      <c r="B7" s="252" t="s">
        <v>195</v>
      </c>
      <c r="C7" s="257">
        <v>424790.34000000032</v>
      </c>
      <c r="D7" s="257">
        <v>-11253.689999999988</v>
      </c>
      <c r="E7" s="257">
        <v>330904</v>
      </c>
      <c r="F7" s="257">
        <v>72556.229999999981</v>
      </c>
      <c r="G7" s="257">
        <v>-21280</v>
      </c>
      <c r="H7" s="257">
        <v>-915621</v>
      </c>
      <c r="I7" s="261">
        <v>0</v>
      </c>
    </row>
    <row r="8" spans="1:9" ht="29" x14ac:dyDescent="0.35">
      <c r="A8" s="252" t="s">
        <v>196</v>
      </c>
      <c r="B8" s="252" t="s">
        <v>197</v>
      </c>
      <c r="C8" s="257">
        <v>-1490373.73</v>
      </c>
      <c r="D8" s="257">
        <v>-307659.07</v>
      </c>
      <c r="E8" s="257">
        <v>429524</v>
      </c>
      <c r="F8" s="257">
        <v>278663.31000000006</v>
      </c>
      <c r="G8" s="257">
        <v>-1377918</v>
      </c>
      <c r="H8" s="257">
        <v>-170996</v>
      </c>
      <c r="I8" s="261">
        <v>-974174</v>
      </c>
    </row>
    <row r="9" spans="1:9" ht="29" x14ac:dyDescent="0.35">
      <c r="A9" s="252" t="s">
        <v>198</v>
      </c>
      <c r="B9" s="252" t="s">
        <v>199</v>
      </c>
      <c r="C9" s="257">
        <v>0</v>
      </c>
      <c r="D9" s="257">
        <v>756721.89</v>
      </c>
      <c r="E9" s="257">
        <v>795624.2300000001</v>
      </c>
      <c r="F9" s="257">
        <v>0</v>
      </c>
      <c r="G9" s="257">
        <v>0</v>
      </c>
      <c r="H9" s="257">
        <v>0</v>
      </c>
      <c r="I9" s="261">
        <v>-3992451</v>
      </c>
    </row>
    <row r="10" spans="1:9" x14ac:dyDescent="0.35">
      <c r="A10" s="252" t="s">
        <v>200</v>
      </c>
      <c r="B10" s="252" t="s">
        <v>201</v>
      </c>
      <c r="C10" s="257">
        <v>0</v>
      </c>
      <c r="D10" s="257">
        <v>0</v>
      </c>
      <c r="E10" s="257">
        <v>0</v>
      </c>
      <c r="F10" s="257">
        <v>0</v>
      </c>
      <c r="G10" s="257">
        <v>0</v>
      </c>
      <c r="H10" s="257">
        <v>1370104.4400000002</v>
      </c>
      <c r="I10" s="261">
        <v>0</v>
      </c>
    </row>
    <row r="11" spans="1:9" x14ac:dyDescent="0.35">
      <c r="A11" s="252" t="s">
        <v>202</v>
      </c>
      <c r="B11" s="252" t="s">
        <v>203</v>
      </c>
      <c r="C11" s="257">
        <v>-2385785.09</v>
      </c>
      <c r="D11" s="257">
        <v>-2709699.0299999993</v>
      </c>
      <c r="E11" s="257">
        <v>0</v>
      </c>
      <c r="F11" s="257">
        <v>69661.810000000056</v>
      </c>
      <c r="G11" s="257">
        <v>-411233</v>
      </c>
      <c r="H11" s="257">
        <v>-1191307</v>
      </c>
      <c r="I11" s="261">
        <v>0</v>
      </c>
    </row>
    <row r="12" spans="1:9" ht="29" x14ac:dyDescent="0.35">
      <c r="A12" s="252" t="s">
        <v>204</v>
      </c>
      <c r="B12" s="252" t="s">
        <v>205</v>
      </c>
      <c r="C12" s="257">
        <v>0</v>
      </c>
      <c r="D12" s="257">
        <v>0</v>
      </c>
      <c r="E12" s="257">
        <v>-185760.11290000001</v>
      </c>
      <c r="F12" s="257">
        <v>234171.11000000034</v>
      </c>
      <c r="G12" s="257">
        <v>0</v>
      </c>
      <c r="H12" s="257">
        <v>0</v>
      </c>
      <c r="I12" s="261">
        <v>0</v>
      </c>
    </row>
    <row r="13" spans="1:9" x14ac:dyDescent="0.35">
      <c r="A13" s="252" t="s">
        <v>208</v>
      </c>
      <c r="B13" s="252" t="s">
        <v>289</v>
      </c>
      <c r="C13" s="257">
        <v>16976.320000000007</v>
      </c>
      <c r="D13" s="257">
        <v>-36085.25</v>
      </c>
      <c r="E13" s="257">
        <v>4006</v>
      </c>
      <c r="F13" s="257">
        <v>22272.14</v>
      </c>
      <c r="G13" s="257">
        <v>45827</v>
      </c>
      <c r="H13" s="257">
        <v>54270</v>
      </c>
      <c r="I13" s="261">
        <v>54865</v>
      </c>
    </row>
    <row r="14" spans="1:9" x14ac:dyDescent="0.35">
      <c r="A14" s="252" t="s">
        <v>206</v>
      </c>
      <c r="B14" s="252" t="s">
        <v>207</v>
      </c>
      <c r="C14" s="257">
        <v>165833.49</v>
      </c>
      <c r="D14" s="257">
        <v>206804.33</v>
      </c>
      <c r="E14" s="257">
        <v>19414</v>
      </c>
      <c r="F14" s="257">
        <v>282705.19999999995</v>
      </c>
      <c r="G14" s="257">
        <v>13642</v>
      </c>
      <c r="H14" s="257">
        <v>-54640</v>
      </c>
      <c r="I14" s="261">
        <v>83148</v>
      </c>
    </row>
    <row r="15" spans="1:9" x14ac:dyDescent="0.35">
      <c r="A15" s="252" t="s">
        <v>209</v>
      </c>
      <c r="B15" s="252" t="s">
        <v>210</v>
      </c>
      <c r="C15" s="257">
        <v>0</v>
      </c>
      <c r="D15" s="257">
        <v>0</v>
      </c>
      <c r="E15" s="257">
        <v>0</v>
      </c>
      <c r="F15" s="257">
        <v>0</v>
      </c>
      <c r="G15" s="257">
        <v>-327189</v>
      </c>
      <c r="H15" s="257">
        <v>-9793</v>
      </c>
      <c r="I15" s="261">
        <v>-288092</v>
      </c>
    </row>
    <row r="16" spans="1:9" x14ac:dyDescent="0.35">
      <c r="A16" s="252" t="s">
        <v>211</v>
      </c>
      <c r="B16" s="252" t="s">
        <v>212</v>
      </c>
      <c r="C16" s="257">
        <v>0</v>
      </c>
      <c r="D16" s="257">
        <v>0</v>
      </c>
      <c r="E16" s="257">
        <v>0</v>
      </c>
      <c r="F16" s="257">
        <v>110537.5</v>
      </c>
      <c r="G16" s="257">
        <v>0</v>
      </c>
      <c r="H16" s="257">
        <v>0</v>
      </c>
      <c r="I16" s="261">
        <v>0</v>
      </c>
    </row>
    <row r="17" spans="1:9" ht="29" x14ac:dyDescent="0.35">
      <c r="A17" s="252" t="s">
        <v>213</v>
      </c>
      <c r="B17" s="252" t="s">
        <v>214</v>
      </c>
      <c r="C17" s="257">
        <v>0</v>
      </c>
      <c r="D17" s="257">
        <v>0</v>
      </c>
      <c r="E17" s="257">
        <v>0</v>
      </c>
      <c r="F17" s="257">
        <v>-110138</v>
      </c>
      <c r="G17" s="257">
        <v>6477632</v>
      </c>
      <c r="H17" s="257">
        <v>0</v>
      </c>
      <c r="I17" s="261">
        <v>0</v>
      </c>
    </row>
    <row r="18" spans="1:9" ht="29" x14ac:dyDescent="0.35">
      <c r="A18" s="252" t="s">
        <v>215</v>
      </c>
      <c r="B18" s="252" t="s">
        <v>216</v>
      </c>
      <c r="C18" s="257"/>
      <c r="D18" s="257"/>
      <c r="E18" s="257"/>
      <c r="F18" s="257">
        <v>200000</v>
      </c>
      <c r="G18" s="257">
        <v>200000</v>
      </c>
      <c r="H18" s="257">
        <v>600000</v>
      </c>
      <c r="I18" s="261">
        <v>117000</v>
      </c>
    </row>
    <row r="19" spans="1:9" x14ac:dyDescent="0.35">
      <c r="A19" s="252" t="s">
        <v>217</v>
      </c>
      <c r="B19" s="252" t="s">
        <v>218</v>
      </c>
      <c r="C19" s="257">
        <v>1587652.08</v>
      </c>
      <c r="D19" s="257">
        <v>1702833.93</v>
      </c>
      <c r="E19" s="257">
        <v>1472607</v>
      </c>
      <c r="F19" s="257">
        <v>1159857.74</v>
      </c>
      <c r="G19" s="257">
        <v>1149746</v>
      </c>
      <c r="H19" s="257">
        <v>1574050</v>
      </c>
      <c r="I19" s="261">
        <v>2081299</v>
      </c>
    </row>
    <row r="20" spans="1:9" x14ac:dyDescent="0.35">
      <c r="A20" s="252" t="s">
        <v>21</v>
      </c>
      <c r="B20" s="252" t="s">
        <v>219</v>
      </c>
      <c r="C20" s="257">
        <v>-3652.64</v>
      </c>
      <c r="D20" s="257">
        <v>-91477.24</v>
      </c>
      <c r="E20" s="257">
        <v>-86264</v>
      </c>
      <c r="F20" s="257">
        <v>-105139.08</v>
      </c>
      <c r="G20" s="257">
        <v>-128719</v>
      </c>
      <c r="H20" s="257">
        <v>-316730</v>
      </c>
      <c r="I20" s="261">
        <v>-983890</v>
      </c>
    </row>
    <row r="21" spans="1:9" x14ac:dyDescent="0.35">
      <c r="A21" s="252" t="s">
        <v>175</v>
      </c>
      <c r="B21" s="252" t="s">
        <v>220</v>
      </c>
      <c r="C21" s="257">
        <v>-1157997.23</v>
      </c>
      <c r="D21" s="257">
        <v>-1117269.6399999999</v>
      </c>
      <c r="E21" s="257">
        <v>0</v>
      </c>
      <c r="F21" s="257">
        <v>0</v>
      </c>
      <c r="G21" s="257">
        <v>0</v>
      </c>
      <c r="H21" s="257">
        <v>-46745700</v>
      </c>
      <c r="I21" s="261">
        <v>0</v>
      </c>
    </row>
    <row r="22" spans="1:9" x14ac:dyDescent="0.35">
      <c r="A22" s="252" t="s">
        <v>221</v>
      </c>
      <c r="B22" s="252" t="s">
        <v>222</v>
      </c>
      <c r="C22" s="257">
        <v>-2264435.7599999998</v>
      </c>
      <c r="D22" s="257">
        <v>-2263168.92</v>
      </c>
      <c r="E22" s="257">
        <v>-2275213</v>
      </c>
      <c r="F22" s="257">
        <v>-2262430.7799999998</v>
      </c>
      <c r="G22" s="257">
        <v>-2259451</v>
      </c>
      <c r="H22" s="257">
        <v>-2206664</v>
      </c>
      <c r="I22" s="261">
        <v>-2113978</v>
      </c>
    </row>
    <row r="23" spans="1:9" x14ac:dyDescent="0.35">
      <c r="A23" s="252" t="s">
        <v>223</v>
      </c>
      <c r="B23" s="252" t="s">
        <v>224</v>
      </c>
      <c r="C23" s="257">
        <v>1528592.5900000734</v>
      </c>
      <c r="D23" s="257">
        <v>-88766.88</v>
      </c>
      <c r="E23" s="257">
        <v>600347</v>
      </c>
      <c r="F23" s="257">
        <v>445797.00147184799</v>
      </c>
      <c r="G23" s="257">
        <v>654632</v>
      </c>
      <c r="H23" s="257">
        <v>-274153</v>
      </c>
      <c r="I23" s="261">
        <v>-2402662</v>
      </c>
    </row>
    <row r="24" spans="1:9" x14ac:dyDescent="0.35">
      <c r="A24" s="252"/>
      <c r="B24" s="252"/>
      <c r="C24" s="257"/>
      <c r="D24" s="257"/>
      <c r="E24" s="257">
        <v>0</v>
      </c>
      <c r="F24" s="257">
        <v>0</v>
      </c>
      <c r="G24" s="257"/>
      <c r="H24" s="257"/>
      <c r="I24" s="261"/>
    </row>
    <row r="25" spans="1:9" x14ac:dyDescent="0.35">
      <c r="A25" s="253" t="s">
        <v>225</v>
      </c>
      <c r="B25" s="249" t="s">
        <v>226</v>
      </c>
      <c r="C25" s="257"/>
      <c r="D25" s="257"/>
      <c r="E25" s="257">
        <v>0</v>
      </c>
      <c r="F25" s="257">
        <v>0</v>
      </c>
      <c r="G25" s="257"/>
      <c r="H25" s="257"/>
      <c r="I25" s="261"/>
    </row>
    <row r="26" spans="1:9" ht="29" x14ac:dyDescent="0.35">
      <c r="A26" s="252" t="s">
        <v>227</v>
      </c>
      <c r="B26" s="243" t="s">
        <v>228</v>
      </c>
      <c r="C26" s="257">
        <v>-6122322.7299999977</v>
      </c>
      <c r="D26" s="257">
        <v>-3399869.08</v>
      </c>
      <c r="E26" s="257">
        <v>-10166817.600000001</v>
      </c>
      <c r="F26" s="257">
        <v>9486747.1792640295</v>
      </c>
      <c r="G26" s="257">
        <v>-20576749</v>
      </c>
      <c r="H26" s="257">
        <v>-6316831.1985039152</v>
      </c>
      <c r="I26" s="261">
        <v>26601743</v>
      </c>
    </row>
    <row r="27" spans="1:9" x14ac:dyDescent="0.35">
      <c r="A27" s="252" t="s">
        <v>229</v>
      </c>
      <c r="B27" s="243" t="s">
        <v>230</v>
      </c>
      <c r="C27" s="257">
        <v>1843572.6599999964</v>
      </c>
      <c r="D27" s="257">
        <v>3128998</v>
      </c>
      <c r="E27" s="257">
        <v>-4650435.7799999937</v>
      </c>
      <c r="F27" s="257">
        <v>2774909</v>
      </c>
      <c r="G27" s="257">
        <v>-5375385</v>
      </c>
      <c r="H27" s="257">
        <v>-2261553</v>
      </c>
      <c r="I27" s="261">
        <v>-1119740</v>
      </c>
    </row>
    <row r="28" spans="1:9" x14ac:dyDescent="0.35">
      <c r="A28" s="252" t="s">
        <v>231</v>
      </c>
      <c r="B28" s="243" t="s">
        <v>232</v>
      </c>
      <c r="C28" s="257">
        <v>447239</v>
      </c>
      <c r="D28" s="257">
        <v>0</v>
      </c>
      <c r="E28" s="257">
        <v>-242057.24</v>
      </c>
      <c r="F28" s="257">
        <v>64467</v>
      </c>
      <c r="G28" s="257">
        <v>-1106915</v>
      </c>
      <c r="H28" s="257">
        <v>-3571403</v>
      </c>
      <c r="I28" s="261">
        <v>548605</v>
      </c>
    </row>
    <row r="29" spans="1:9" x14ac:dyDescent="0.35">
      <c r="A29" s="252" t="s">
        <v>233</v>
      </c>
      <c r="B29" s="243" t="s">
        <v>234</v>
      </c>
      <c r="C29" s="257">
        <v>1674948.0699999966</v>
      </c>
      <c r="D29" s="257">
        <v>-4669779.29</v>
      </c>
      <c r="E29" s="257">
        <v>649976.62999999896</v>
      </c>
      <c r="F29" s="257">
        <v>1787617.96</v>
      </c>
      <c r="G29" s="257">
        <v>11032378</v>
      </c>
      <c r="H29" s="257">
        <v>-4846357.3100000005</v>
      </c>
      <c r="I29" s="261">
        <v>-23288177</v>
      </c>
    </row>
    <row r="30" spans="1:9" x14ac:dyDescent="0.35">
      <c r="A30" s="252" t="s">
        <v>235</v>
      </c>
      <c r="B30" s="243" t="s">
        <v>236</v>
      </c>
      <c r="C30" s="257">
        <v>12596.930000001565</v>
      </c>
      <c r="D30" s="257">
        <v>-39774.080000000075</v>
      </c>
      <c r="E30" s="257">
        <v>-467</v>
      </c>
      <c r="F30" s="257">
        <v>0</v>
      </c>
      <c r="G30" s="257"/>
      <c r="H30" s="257">
        <v>0</v>
      </c>
      <c r="I30" s="261"/>
    </row>
    <row r="31" spans="1:9" x14ac:dyDescent="0.35">
      <c r="A31" s="252" t="s">
        <v>237</v>
      </c>
      <c r="B31" s="243" t="s">
        <v>238</v>
      </c>
      <c r="C31" s="257">
        <v>477986.32000000007</v>
      </c>
      <c r="D31" s="257">
        <v>365174.43999999994</v>
      </c>
      <c r="E31" s="257">
        <v>-3388503</v>
      </c>
      <c r="F31" s="257">
        <v>431251.74</v>
      </c>
      <c r="G31" s="257">
        <v>-129356</v>
      </c>
      <c r="H31" s="257">
        <v>1751137</v>
      </c>
      <c r="I31" s="261">
        <v>1123962</v>
      </c>
    </row>
    <row r="32" spans="1:9" ht="15" thickBot="1" x14ac:dyDescent="0.4">
      <c r="A32" s="252"/>
      <c r="B32" s="243"/>
      <c r="C32" s="257"/>
      <c r="D32" s="257"/>
      <c r="E32" s="257"/>
      <c r="F32" s="257"/>
      <c r="G32" s="257"/>
      <c r="H32" s="257"/>
      <c r="I32" s="261"/>
    </row>
    <row r="33" spans="1:9" ht="15" thickBot="1" x14ac:dyDescent="0.4">
      <c r="A33" s="254" t="s">
        <v>239</v>
      </c>
      <c r="B33" s="250" t="s">
        <v>240</v>
      </c>
      <c r="C33" s="258">
        <f t="shared" ref="C33:H33" si="1">SUM(C4:C31)</f>
        <v>11200884.820000069</v>
      </c>
      <c r="D33" s="258">
        <f t="shared" si="1"/>
        <v>5312308.2999999989</v>
      </c>
      <c r="E33" s="258">
        <f t="shared" si="1"/>
        <v>-5471085.9129000138</v>
      </c>
      <c r="F33" s="258">
        <f t="shared" si="1"/>
        <v>26253741.020735841</v>
      </c>
      <c r="G33" s="258">
        <f t="shared" si="1"/>
        <v>-2721126</v>
      </c>
      <c r="H33" s="258">
        <f t="shared" si="1"/>
        <v>-1539268.0685039181</v>
      </c>
      <c r="I33" s="259">
        <f t="shared" ref="I33" si="2">SUM(I4:I31)</f>
        <v>8336595</v>
      </c>
    </row>
    <row r="34" spans="1:9" x14ac:dyDescent="0.35">
      <c r="A34" s="252"/>
      <c r="B34" s="243"/>
      <c r="C34" s="260"/>
      <c r="D34" s="260"/>
      <c r="E34" s="260"/>
      <c r="F34" s="260"/>
      <c r="G34" s="260"/>
      <c r="H34" s="260"/>
      <c r="I34" s="262"/>
    </row>
    <row r="35" spans="1:9" x14ac:dyDescent="0.35">
      <c r="A35" s="252" t="s">
        <v>241</v>
      </c>
      <c r="B35" s="243" t="s">
        <v>242</v>
      </c>
      <c r="C35" s="257">
        <v>-7163</v>
      </c>
      <c r="D35" s="257">
        <v>-212766</v>
      </c>
      <c r="E35" s="257">
        <v>-491719</v>
      </c>
      <c r="F35" s="257">
        <v>-830406</v>
      </c>
      <c r="G35" s="257">
        <v>-712964</v>
      </c>
      <c r="H35" s="257">
        <v>-1015734</v>
      </c>
      <c r="I35" s="261">
        <v>-619612</v>
      </c>
    </row>
    <row r="36" spans="1:9" x14ac:dyDescent="0.35">
      <c r="A36" s="252" t="s">
        <v>243</v>
      </c>
      <c r="B36" s="243" t="s">
        <v>244</v>
      </c>
      <c r="C36" s="257">
        <v>-1587652.08</v>
      </c>
      <c r="D36" s="257">
        <v>-1702833.93</v>
      </c>
      <c r="E36" s="257">
        <v>-1472607</v>
      </c>
      <c r="F36" s="257">
        <v>-1159858</v>
      </c>
      <c r="G36" s="257">
        <v>-1149747</v>
      </c>
      <c r="H36" s="257">
        <v>-1574050</v>
      </c>
      <c r="I36" s="261">
        <v>-2081299</v>
      </c>
    </row>
    <row r="37" spans="1:9" ht="15" thickBot="1" x14ac:dyDescent="0.4">
      <c r="A37" s="252"/>
      <c r="B37" s="243"/>
      <c r="C37" s="257"/>
      <c r="D37" s="257"/>
      <c r="E37" s="257"/>
      <c r="F37" s="257"/>
      <c r="G37" s="257"/>
      <c r="H37" s="257"/>
      <c r="I37" s="261"/>
    </row>
    <row r="38" spans="1:9" ht="15" thickBot="1" x14ac:dyDescent="0.4">
      <c r="A38" s="254" t="s">
        <v>178</v>
      </c>
      <c r="B38" s="254" t="s">
        <v>245</v>
      </c>
      <c r="C38" s="258">
        <f t="shared" ref="C38:H38" si="3">C33+C35+C36</f>
        <v>9606069.7400000691</v>
      </c>
      <c r="D38" s="258">
        <f t="shared" si="3"/>
        <v>3396708.3699999992</v>
      </c>
      <c r="E38" s="258">
        <f t="shared" si="3"/>
        <v>-7435411.9129000138</v>
      </c>
      <c r="F38" s="258">
        <f t="shared" si="3"/>
        <v>24263477.020735841</v>
      </c>
      <c r="G38" s="258">
        <f t="shared" si="3"/>
        <v>-4583837</v>
      </c>
      <c r="H38" s="258">
        <f t="shared" si="3"/>
        <v>-4129052.0685039181</v>
      </c>
      <c r="I38" s="259">
        <f t="shared" ref="I38" si="4">I33+I35+I36</f>
        <v>5635684</v>
      </c>
    </row>
    <row r="39" spans="1:9" x14ac:dyDescent="0.35">
      <c r="A39" s="252"/>
      <c r="B39" s="243"/>
      <c r="C39" s="260"/>
      <c r="D39" s="260"/>
      <c r="E39" s="260"/>
      <c r="F39" s="260"/>
      <c r="G39" s="260"/>
      <c r="H39" s="260"/>
      <c r="I39" s="262"/>
    </row>
    <row r="40" spans="1:9" ht="15" thickBot="1" x14ac:dyDescent="0.4">
      <c r="A40" s="255" t="s">
        <v>246</v>
      </c>
      <c r="B40" s="251" t="s">
        <v>247</v>
      </c>
      <c r="C40" s="260"/>
      <c r="D40" s="260"/>
      <c r="E40" s="260"/>
      <c r="F40" s="260"/>
      <c r="G40" s="260"/>
      <c r="H40" s="260"/>
      <c r="I40" s="262"/>
    </row>
    <row r="41" spans="1:9" x14ac:dyDescent="0.35">
      <c r="A41" s="252" t="s">
        <v>248</v>
      </c>
      <c r="B41" s="252" t="s">
        <v>249</v>
      </c>
      <c r="C41" s="257">
        <v>0</v>
      </c>
      <c r="D41" s="257">
        <v>0</v>
      </c>
      <c r="E41" s="257">
        <v>0</v>
      </c>
      <c r="F41" s="257">
        <v>0</v>
      </c>
      <c r="G41" s="257"/>
      <c r="H41" s="257"/>
      <c r="I41" s="261"/>
    </row>
    <row r="42" spans="1:9" x14ac:dyDescent="0.35">
      <c r="A42" s="252" t="s">
        <v>250</v>
      </c>
      <c r="B42" s="252" t="s">
        <v>251</v>
      </c>
      <c r="C42" s="257">
        <v>3652.64</v>
      </c>
      <c r="D42" s="257">
        <v>91477.24</v>
      </c>
      <c r="E42" s="257">
        <v>86264</v>
      </c>
      <c r="F42" s="257">
        <v>105139</v>
      </c>
      <c r="G42" s="257">
        <v>128719</v>
      </c>
      <c r="H42" s="257">
        <v>316730</v>
      </c>
      <c r="I42" s="261">
        <v>983890</v>
      </c>
    </row>
    <row r="43" spans="1:9" x14ac:dyDescent="0.35">
      <c r="A43" s="252" t="s">
        <v>252</v>
      </c>
      <c r="B43" s="252" t="s">
        <v>253</v>
      </c>
      <c r="C43" s="257">
        <v>1157997.23</v>
      </c>
      <c r="D43" s="257">
        <v>1117269.6399999999</v>
      </c>
      <c r="E43" s="257">
        <v>0</v>
      </c>
      <c r="F43" s="257">
        <v>0</v>
      </c>
      <c r="G43" s="257"/>
      <c r="H43" s="257">
        <v>7166500</v>
      </c>
      <c r="I43" s="261">
        <v>39579200</v>
      </c>
    </row>
    <row r="44" spans="1:9" x14ac:dyDescent="0.35">
      <c r="A44" s="252" t="s">
        <v>254</v>
      </c>
      <c r="B44" s="252" t="s">
        <v>255</v>
      </c>
      <c r="C44" s="257">
        <v>-8340112.7100000037</v>
      </c>
      <c r="D44" s="257">
        <v>-3091314.56</v>
      </c>
      <c r="E44" s="257">
        <v>-2189850.5499999998</v>
      </c>
      <c r="F44" s="257">
        <v>-1148663.9200000002</v>
      </c>
      <c r="G44" s="257">
        <v>-3657007</v>
      </c>
      <c r="H44" s="257">
        <v>-5756881</v>
      </c>
      <c r="I44" s="261">
        <v>-13307466</v>
      </c>
    </row>
    <row r="45" spans="1:9" x14ac:dyDescent="0.35">
      <c r="A45" s="252" t="s">
        <v>256</v>
      </c>
      <c r="B45" s="252" t="s">
        <v>257</v>
      </c>
      <c r="C45" s="257">
        <v>0</v>
      </c>
      <c r="D45" s="257">
        <v>0</v>
      </c>
      <c r="E45" s="257">
        <v>0</v>
      </c>
      <c r="F45" s="257">
        <v>0</v>
      </c>
      <c r="G45" s="257"/>
      <c r="H45" s="257"/>
      <c r="I45" s="261"/>
    </row>
    <row r="46" spans="1:9" x14ac:dyDescent="0.35">
      <c r="A46" s="252" t="s">
        <v>258</v>
      </c>
      <c r="B46" s="252" t="s">
        <v>259</v>
      </c>
      <c r="C46" s="257">
        <v>3575112.43</v>
      </c>
      <c r="D46" s="257">
        <v>18086180</v>
      </c>
      <c r="E46" s="257">
        <v>0</v>
      </c>
      <c r="F46" s="257">
        <v>1191675</v>
      </c>
      <c r="G46" s="257">
        <v>2862617</v>
      </c>
      <c r="H46" s="257">
        <v>2373151</v>
      </c>
      <c r="I46" s="261">
        <v>0</v>
      </c>
    </row>
    <row r="47" spans="1:9" x14ac:dyDescent="0.35">
      <c r="A47" s="252" t="s">
        <v>260</v>
      </c>
      <c r="B47" s="252" t="s">
        <v>261</v>
      </c>
      <c r="C47" s="257">
        <v>1821662.9</v>
      </c>
      <c r="D47" s="257">
        <v>94611.51</v>
      </c>
      <c r="E47" s="257">
        <v>157638</v>
      </c>
      <c r="F47" s="257">
        <v>2436</v>
      </c>
      <c r="G47" s="257">
        <v>517739</v>
      </c>
      <c r="H47" s="257">
        <v>915614</v>
      </c>
      <c r="I47" s="261">
        <v>0</v>
      </c>
    </row>
    <row r="48" spans="1:9" x14ac:dyDescent="0.35">
      <c r="A48" s="252" t="s">
        <v>262</v>
      </c>
      <c r="B48" s="252" t="s">
        <v>263</v>
      </c>
      <c r="C48" s="257">
        <v>0</v>
      </c>
      <c r="D48" s="257">
        <v>0</v>
      </c>
      <c r="E48" s="257">
        <v>0</v>
      </c>
      <c r="F48" s="257">
        <v>0</v>
      </c>
      <c r="G48" s="257">
        <v>-3164051</v>
      </c>
      <c r="H48" s="257">
        <v>0</v>
      </c>
      <c r="I48" s="261">
        <v>7752606</v>
      </c>
    </row>
    <row r="49" spans="1:9" x14ac:dyDescent="0.35">
      <c r="A49" s="252" t="s">
        <v>264</v>
      </c>
      <c r="B49" s="252" t="s">
        <v>265</v>
      </c>
      <c r="C49" s="257">
        <v>0</v>
      </c>
      <c r="D49" s="257">
        <v>0</v>
      </c>
      <c r="E49" s="257">
        <v>16186151</v>
      </c>
      <c r="F49" s="257">
        <v>4062150</v>
      </c>
      <c r="G49" s="257">
        <v>0</v>
      </c>
      <c r="H49" s="257">
        <v>0</v>
      </c>
      <c r="I49" s="261"/>
    </row>
    <row r="50" spans="1:9" x14ac:dyDescent="0.35">
      <c r="A50" s="252" t="s">
        <v>266</v>
      </c>
      <c r="B50" s="252" t="s">
        <v>267</v>
      </c>
      <c r="C50" s="257">
        <v>597187</v>
      </c>
      <c r="D50" s="257">
        <v>0</v>
      </c>
      <c r="E50" s="257">
        <v>0</v>
      </c>
      <c r="F50" s="257">
        <v>0</v>
      </c>
      <c r="G50" s="257"/>
      <c r="H50" s="257"/>
      <c r="I50" s="261"/>
    </row>
    <row r="51" spans="1:9" x14ac:dyDescent="0.35">
      <c r="A51" s="252" t="s">
        <v>268</v>
      </c>
      <c r="B51" s="252" t="s">
        <v>269</v>
      </c>
      <c r="C51" s="257"/>
      <c r="D51" s="257"/>
      <c r="E51" s="257"/>
      <c r="F51" s="257"/>
      <c r="G51" s="257"/>
      <c r="H51" s="257">
        <v>912179.25</v>
      </c>
      <c r="I51" s="261">
        <v>0</v>
      </c>
    </row>
    <row r="52" spans="1:9" x14ac:dyDescent="0.35">
      <c r="A52" s="252" t="s">
        <v>270</v>
      </c>
      <c r="B52" s="252" t="s">
        <v>271</v>
      </c>
      <c r="C52" s="257">
        <v>0</v>
      </c>
      <c r="D52" s="257">
        <v>-6174452</v>
      </c>
      <c r="E52" s="257">
        <v>1436810.5</v>
      </c>
      <c r="F52" s="257">
        <f>-258311.4+47768</f>
        <v>-210543.4</v>
      </c>
      <c r="G52" s="257">
        <v>-694542.51</v>
      </c>
      <c r="H52" s="257">
        <v>0</v>
      </c>
      <c r="I52" s="261"/>
    </row>
    <row r="53" spans="1:9" x14ac:dyDescent="0.35">
      <c r="A53" s="252" t="s">
        <v>272</v>
      </c>
      <c r="B53" s="252" t="s">
        <v>273</v>
      </c>
      <c r="C53" s="257"/>
      <c r="D53" s="257"/>
      <c r="E53" s="257"/>
      <c r="F53" s="257"/>
      <c r="G53" s="257"/>
      <c r="H53" s="257">
        <v>-1000</v>
      </c>
      <c r="I53" s="261"/>
    </row>
    <row r="54" spans="1:9" x14ac:dyDescent="0.35">
      <c r="A54" s="252" t="s">
        <v>290</v>
      </c>
      <c r="B54" s="252" t="s">
        <v>291</v>
      </c>
      <c r="C54" s="257">
        <v>0</v>
      </c>
      <c r="D54" s="257">
        <v>0</v>
      </c>
      <c r="E54" s="257">
        <v>0</v>
      </c>
      <c r="F54" s="257">
        <v>0</v>
      </c>
      <c r="G54" s="257">
        <v>0</v>
      </c>
      <c r="H54" s="257">
        <v>0</v>
      </c>
      <c r="I54" s="261">
        <v>20147966</v>
      </c>
    </row>
    <row r="55" spans="1:9" x14ac:dyDescent="0.35">
      <c r="A55" s="252" t="s">
        <v>274</v>
      </c>
      <c r="B55" s="252" t="s">
        <v>275</v>
      </c>
      <c r="C55" s="257">
        <v>-33918</v>
      </c>
      <c r="D55" s="257">
        <v>-19139</v>
      </c>
      <c r="E55" s="257">
        <v>0</v>
      </c>
      <c r="F55" s="257">
        <v>-215514</v>
      </c>
      <c r="G55" s="257">
        <v>8254.3899999998976</v>
      </c>
      <c r="H55" s="257">
        <v>-153218.91000000003</v>
      </c>
      <c r="I55" s="261">
        <v>-593862</v>
      </c>
    </row>
    <row r="56" spans="1:9" ht="15" thickBot="1" x14ac:dyDescent="0.4">
      <c r="A56" s="252"/>
      <c r="B56" s="252"/>
      <c r="C56" s="260"/>
      <c r="D56" s="260"/>
      <c r="E56" s="260"/>
      <c r="F56" s="260"/>
      <c r="G56" s="260"/>
      <c r="H56" s="260"/>
      <c r="I56" s="262"/>
    </row>
    <row r="57" spans="1:9" ht="15" thickBot="1" x14ac:dyDescent="0.4">
      <c r="A57" s="254" t="s">
        <v>179</v>
      </c>
      <c r="B57" s="254" t="s">
        <v>276</v>
      </c>
      <c r="C57" s="258">
        <f t="shared" ref="C57:H57" si="5">SUM(C41:C55)</f>
        <v>-1218418.5100000035</v>
      </c>
      <c r="D57" s="258">
        <f t="shared" si="5"/>
        <v>10104632.83</v>
      </c>
      <c r="E57" s="258">
        <f t="shared" si="5"/>
        <v>15677012.949999999</v>
      </c>
      <c r="F57" s="258">
        <f t="shared" si="5"/>
        <v>3786678.68</v>
      </c>
      <c r="G57" s="258">
        <f t="shared" si="5"/>
        <v>-3998271.12</v>
      </c>
      <c r="H57" s="258">
        <f t="shared" si="5"/>
        <v>5773074.3399999999</v>
      </c>
      <c r="I57" s="259">
        <f>SUM(I41:I55)</f>
        <v>54562334</v>
      </c>
    </row>
    <row r="58" spans="1:9" x14ac:dyDescent="0.35">
      <c r="A58" s="252"/>
      <c r="B58" s="252"/>
      <c r="C58" s="260"/>
      <c r="D58" s="260"/>
      <c r="E58" s="260"/>
      <c r="F58" s="260"/>
      <c r="G58" s="260"/>
      <c r="H58" s="260"/>
      <c r="I58" s="262"/>
    </row>
    <row r="59" spans="1:9" ht="15" thickBot="1" x14ac:dyDescent="0.4">
      <c r="A59" s="255" t="s">
        <v>277</v>
      </c>
      <c r="B59" s="255"/>
      <c r="C59" s="260"/>
      <c r="D59" s="260"/>
      <c r="E59" s="260"/>
      <c r="F59" s="260"/>
      <c r="G59" s="260"/>
      <c r="H59" s="260"/>
      <c r="I59" s="262"/>
    </row>
    <row r="60" spans="1:9" x14ac:dyDescent="0.35">
      <c r="A60" s="252" t="s">
        <v>278</v>
      </c>
      <c r="B60" s="252" t="s">
        <v>279</v>
      </c>
      <c r="C60" s="257">
        <v>-1105060.78</v>
      </c>
      <c r="D60" s="257">
        <v>-86797.22</v>
      </c>
      <c r="E60" s="257">
        <v>0</v>
      </c>
      <c r="F60" s="257">
        <v>0</v>
      </c>
      <c r="G60" s="257"/>
      <c r="H60" s="257"/>
      <c r="I60" s="261"/>
    </row>
    <row r="61" spans="1:9" x14ac:dyDescent="0.35">
      <c r="A61" s="256" t="s">
        <v>280</v>
      </c>
      <c r="B61" s="256" t="s">
        <v>281</v>
      </c>
      <c r="C61" s="257">
        <v>-8331749.4200000996</v>
      </c>
      <c r="D61" s="257">
        <v>-10651253.099999951</v>
      </c>
      <c r="E61" s="257">
        <v>-4990888.0199999996</v>
      </c>
      <c r="F61" s="257">
        <v>-16011002.799584899</v>
      </c>
      <c r="G61" s="257">
        <v>6433108</v>
      </c>
      <c r="H61" s="257">
        <v>-1002827.0514960843</v>
      </c>
      <c r="I61" s="263">
        <v>-4636779</v>
      </c>
    </row>
    <row r="62" spans="1:9" x14ac:dyDescent="0.35">
      <c r="A62" s="252" t="s">
        <v>268</v>
      </c>
      <c r="B62" s="252" t="s">
        <v>269</v>
      </c>
      <c r="C62" s="257"/>
      <c r="D62" s="257"/>
      <c r="E62" s="257"/>
      <c r="F62" s="257">
        <v>0</v>
      </c>
      <c r="G62" s="257"/>
      <c r="H62" s="257"/>
      <c r="I62" s="261"/>
    </row>
    <row r="63" spans="1:9" x14ac:dyDescent="0.35">
      <c r="A63" s="252" t="s">
        <v>282</v>
      </c>
      <c r="B63" s="252" t="s">
        <v>283</v>
      </c>
      <c r="C63" s="257">
        <v>-2037152.76</v>
      </c>
      <c r="D63" s="257">
        <v>-1961296.97</v>
      </c>
      <c r="E63" s="257">
        <v>-1032280</v>
      </c>
      <c r="F63" s="257">
        <v>0</v>
      </c>
      <c r="G63" s="257">
        <v>-2641221</v>
      </c>
      <c r="H63" s="257">
        <v>-10666862.290000001</v>
      </c>
      <c r="I63" s="261">
        <v>-28951452</v>
      </c>
    </row>
    <row r="64" spans="1:9" ht="15" thickBot="1" x14ac:dyDescent="0.4">
      <c r="A64" s="252"/>
      <c r="B64" s="252"/>
      <c r="C64" s="260"/>
      <c r="D64" s="260"/>
      <c r="E64" s="260"/>
      <c r="F64" s="260"/>
      <c r="G64" s="260"/>
      <c r="H64" s="260"/>
      <c r="I64" s="262"/>
    </row>
    <row r="65" spans="1:9" ht="15" thickBot="1" x14ac:dyDescent="0.4">
      <c r="A65" s="254" t="s">
        <v>180</v>
      </c>
      <c r="B65" s="254" t="s">
        <v>284</v>
      </c>
      <c r="C65" s="258">
        <f t="shared" ref="C65:H65" si="6">SUM(C60:C63)</f>
        <v>-11473962.9600001</v>
      </c>
      <c r="D65" s="258">
        <f t="shared" si="6"/>
        <v>-12699347.289999953</v>
      </c>
      <c r="E65" s="258">
        <f t="shared" si="6"/>
        <v>-6023168.0199999996</v>
      </c>
      <c r="F65" s="258">
        <f t="shared" si="6"/>
        <v>-16011002.799584899</v>
      </c>
      <c r="G65" s="258">
        <f t="shared" si="6"/>
        <v>3791887</v>
      </c>
      <c r="H65" s="258">
        <f t="shared" si="6"/>
        <v>-11669689.341496086</v>
      </c>
      <c r="I65" s="264">
        <f t="shared" ref="I65" si="7">SUM(I60:I63)</f>
        <v>-33588231</v>
      </c>
    </row>
    <row r="66" spans="1:9" ht="15" thickBot="1" x14ac:dyDescent="0.4">
      <c r="A66" s="252"/>
      <c r="B66" s="252"/>
      <c r="C66" s="260"/>
      <c r="D66" s="260"/>
      <c r="E66" s="260"/>
      <c r="F66" s="260"/>
      <c r="G66" s="260"/>
      <c r="H66" s="260"/>
      <c r="I66" s="265"/>
    </row>
    <row r="67" spans="1:9" ht="29.5" thickBot="1" x14ac:dyDescent="0.4">
      <c r="A67" s="254" t="s">
        <v>62</v>
      </c>
      <c r="B67" s="254" t="s">
        <v>285</v>
      </c>
      <c r="C67" s="258">
        <f t="shared" ref="C67:H67" si="8">C65+C57+C38</f>
        <v>-3086311.730000034</v>
      </c>
      <c r="D67" s="258">
        <f t="shared" si="8"/>
        <v>801993.91000004672</v>
      </c>
      <c r="E67" s="258">
        <f t="shared" si="8"/>
        <v>2218433.0170999859</v>
      </c>
      <c r="F67" s="258">
        <f t="shared" si="8"/>
        <v>12039152.901150942</v>
      </c>
      <c r="G67" s="258">
        <f t="shared" si="8"/>
        <v>-4790221.12</v>
      </c>
      <c r="H67" s="258">
        <f t="shared" si="8"/>
        <v>-10025667.070000004</v>
      </c>
      <c r="I67" s="259">
        <f>I65+I57+I38</f>
        <v>26609787</v>
      </c>
    </row>
    <row r="68" spans="1:9" x14ac:dyDescent="0.35">
      <c r="A68" s="252"/>
      <c r="B68" s="252"/>
      <c r="C68" s="260"/>
      <c r="D68" s="260"/>
      <c r="E68" s="260"/>
      <c r="F68" s="260"/>
      <c r="G68" s="260"/>
      <c r="H68" s="260"/>
      <c r="I68" s="262"/>
    </row>
    <row r="69" spans="1:9" s="46" customFormat="1" ht="29" x14ac:dyDescent="0.35">
      <c r="A69" s="252" t="s">
        <v>66</v>
      </c>
      <c r="B69" s="252" t="s">
        <v>286</v>
      </c>
      <c r="C69" s="257">
        <v>5615329.0076000355</v>
      </c>
      <c r="D69" s="257">
        <v>2529017.2776000015</v>
      </c>
      <c r="E69" s="257">
        <v>3331011.1876000511</v>
      </c>
      <c r="F69" s="257">
        <v>5549445.1199999992</v>
      </c>
      <c r="G69" s="257">
        <f>F73</f>
        <v>17588598.021150939</v>
      </c>
      <c r="H69" s="257">
        <f>G73</f>
        <v>12798376.901150938</v>
      </c>
      <c r="I69" s="261">
        <f>H73</f>
        <v>2772709.8311509341</v>
      </c>
    </row>
    <row r="70" spans="1:9" x14ac:dyDescent="0.35">
      <c r="A70" s="252"/>
      <c r="B70" s="252"/>
      <c r="C70" s="257"/>
      <c r="D70" s="257"/>
      <c r="E70" s="257"/>
      <c r="F70" s="257"/>
      <c r="G70" s="257"/>
      <c r="H70" s="257"/>
      <c r="I70" s="261"/>
    </row>
    <row r="71" spans="1:9" ht="29" x14ac:dyDescent="0.35">
      <c r="A71" s="252" t="s">
        <v>63</v>
      </c>
      <c r="B71" s="252" t="s">
        <v>287</v>
      </c>
      <c r="C71" s="257">
        <v>0</v>
      </c>
      <c r="D71" s="257">
        <v>0</v>
      </c>
      <c r="E71" s="257">
        <v>0</v>
      </c>
      <c r="F71" s="257">
        <v>0</v>
      </c>
      <c r="G71" s="257">
        <v>0</v>
      </c>
      <c r="H71" s="257">
        <v>0</v>
      </c>
      <c r="I71" s="261">
        <v>0</v>
      </c>
    </row>
    <row r="72" spans="1:9" ht="15" thickBot="1" x14ac:dyDescent="0.4">
      <c r="A72" s="252"/>
      <c r="B72" s="252"/>
      <c r="C72" s="260"/>
      <c r="D72" s="260"/>
      <c r="E72" s="260"/>
      <c r="F72" s="260"/>
      <c r="G72" s="260"/>
      <c r="H72" s="260"/>
      <c r="I72" s="262"/>
    </row>
    <row r="73" spans="1:9" s="248" customFormat="1" ht="29.5" thickBot="1" x14ac:dyDescent="0.4">
      <c r="A73" s="254" t="s">
        <v>64</v>
      </c>
      <c r="B73" s="254" t="s">
        <v>288</v>
      </c>
      <c r="C73" s="247">
        <f t="shared" ref="C73:H73" si="9">C67+C69+C71</f>
        <v>2529017.2776000015</v>
      </c>
      <c r="D73" s="247">
        <f t="shared" si="9"/>
        <v>3331011.1876000483</v>
      </c>
      <c r="E73" s="247">
        <f t="shared" si="9"/>
        <v>5549444.2047000369</v>
      </c>
      <c r="F73" s="247">
        <f t="shared" si="9"/>
        <v>17588598.021150939</v>
      </c>
      <c r="G73" s="247">
        <f t="shared" si="9"/>
        <v>12798376.901150938</v>
      </c>
      <c r="H73" s="247">
        <f t="shared" si="9"/>
        <v>2772709.8311509341</v>
      </c>
      <c r="I73" s="266">
        <f t="shared" ref="I73" si="10">I67+I69+I71</f>
        <v>29382496.831150934</v>
      </c>
    </row>
    <row r="75" spans="1:9" x14ac:dyDescent="0.35">
      <c r="A75" s="45"/>
      <c r="B75" s="45"/>
      <c r="C75" s="165"/>
      <c r="D75" s="165"/>
      <c r="E75" s="165"/>
      <c r="F75" s="165"/>
      <c r="G75" s="165"/>
      <c r="H75" s="165"/>
      <c r="I75" s="165"/>
    </row>
    <row r="76" spans="1:9" x14ac:dyDescent="0.35">
      <c r="C76" s="165">
        <f>C73-'1.Pozitia Financiara'!B14</f>
        <v>-0.18239999888464808</v>
      </c>
      <c r="D76" s="165">
        <f>D73-'1.Pozitia Financiara'!C14</f>
        <v>0.67760004801675677</v>
      </c>
      <c r="E76" s="165">
        <f>E73-'1.Pozitia Financiara'!D14</f>
        <v>-0.91529996227473021</v>
      </c>
      <c r="F76" s="165">
        <f>F73-'1.Pozitia Financiara'!E14</f>
        <v>-0.10884905979037285</v>
      </c>
      <c r="G76" s="165">
        <f>G73-'1.Pozitia Financiara'!F14</f>
        <v>-9.8849061876535416E-2</v>
      </c>
      <c r="H76" s="165">
        <f>H73-'1.Pozitia Financiara'!G14</f>
        <v>0.83115093410015106</v>
      </c>
      <c r="I76" s="165">
        <f>I73-'1.Pozitia Financiara'!H14</f>
        <v>-0.16884906589984894</v>
      </c>
    </row>
    <row r="78" spans="1:9" x14ac:dyDescent="0.35">
      <c r="C78" s="165"/>
      <c r="D78" s="165"/>
      <c r="E78" s="165"/>
      <c r="F78" s="165"/>
      <c r="G78" s="165"/>
      <c r="H78" s="165"/>
      <c r="I78" s="16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41"/>
  <sheetViews>
    <sheetView showGridLines="0" zoomScale="90" zoomScaleNormal="9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H29" sqref="H29"/>
    </sheetView>
  </sheetViews>
  <sheetFormatPr defaultColWidth="9.08984375" defaultRowHeight="14.5" x14ac:dyDescent="0.35"/>
  <cols>
    <col min="1" max="1" width="39.54296875" style="1" bestFit="1" customWidth="1"/>
    <col min="2" max="2" width="43.08984375" style="1" bestFit="1" customWidth="1"/>
    <col min="3" max="3" width="12.1796875" style="1" bestFit="1" customWidth="1"/>
    <col min="4" max="4" width="15" style="1" bestFit="1" customWidth="1"/>
    <col min="5" max="5" width="15.36328125" style="1" bestFit="1" customWidth="1"/>
    <col min="6" max="6" width="14.54296875" style="1" bestFit="1" customWidth="1"/>
    <col min="7" max="7" width="12.08984375" style="1" bestFit="1" customWidth="1"/>
    <col min="8" max="9" width="12.453125" style="1" bestFit="1" customWidth="1"/>
    <col min="10" max="16384" width="9.08984375" style="1"/>
  </cols>
  <sheetData>
    <row r="2" spans="1:11" ht="15" thickBot="1" x14ac:dyDescent="0.4">
      <c r="I2" s="40"/>
    </row>
    <row r="3" spans="1:11" ht="24" customHeight="1" thickBot="1" x14ac:dyDescent="0.4">
      <c r="A3" s="228" t="s">
        <v>0</v>
      </c>
      <c r="B3" s="228" t="s">
        <v>26</v>
      </c>
      <c r="C3" s="229">
        <f>'EBIT-EBITDA'!B2</f>
        <v>2017</v>
      </c>
      <c r="D3" s="229">
        <f>'EBIT-EBITDA'!C2</f>
        <v>2018</v>
      </c>
      <c r="E3" s="229">
        <f>'EBIT-EBITDA'!D2</f>
        <v>2019</v>
      </c>
      <c r="F3" s="229">
        <f>'EBIT-EBITDA'!E2</f>
        <v>2020</v>
      </c>
      <c r="G3" s="229">
        <f>'EBIT-EBITDA'!F2</f>
        <v>2021</v>
      </c>
      <c r="H3" s="229">
        <f>'EBIT-EBITDA'!G2</f>
        <v>2022</v>
      </c>
      <c r="I3" s="229">
        <f>'EBIT-EBITDA'!H2</f>
        <v>2023</v>
      </c>
    </row>
    <row r="4" spans="1:11" x14ac:dyDescent="0.35">
      <c r="A4" s="9" t="s">
        <v>49</v>
      </c>
      <c r="B4" s="9" t="s">
        <v>60</v>
      </c>
      <c r="C4" s="9">
        <f>'EBIT-EBITDA'!B6</f>
        <v>7325989.7299999949</v>
      </c>
      <c r="D4" s="9">
        <f>'EBIT-EBITDA'!C6</f>
        <v>6168891.1000000173</v>
      </c>
      <c r="E4" s="9">
        <f>'EBIT-EBITDA'!D6</f>
        <v>2060147.2999999819</v>
      </c>
      <c r="F4" s="9">
        <f>'EBIT-EBITDA'!E6</f>
        <v>2267260.4399999618</v>
      </c>
      <c r="G4" s="9">
        <f>'EBIT-EBITDA'!F6</f>
        <v>394684</v>
      </c>
      <c r="H4" s="9">
        <f>'EBIT-EBITDA'!G6</f>
        <v>53670160</v>
      </c>
      <c r="I4" s="230">
        <f>'EBIT-EBITDA'!H6</f>
        <v>5303794</v>
      </c>
    </row>
    <row r="5" spans="1:11" x14ac:dyDescent="0.35">
      <c r="A5" s="9" t="s">
        <v>25</v>
      </c>
      <c r="B5" s="9" t="s">
        <v>60</v>
      </c>
      <c r="C5" s="9">
        <f>'EBIT-EBITDA'!B9</f>
        <v>15768480.169999992</v>
      </c>
      <c r="D5" s="9">
        <f>'EBIT-EBITDA'!C9</f>
        <v>14702840.760000018</v>
      </c>
      <c r="E5" s="9">
        <f>'EBIT-EBITDA'!D9</f>
        <v>10419423.999999983</v>
      </c>
      <c r="F5" s="9">
        <f>'EBIT-EBITDA'!E9</f>
        <v>10207662.439999962</v>
      </c>
      <c r="G5" s="9">
        <f>'EBIT-EBITDA'!F9</f>
        <v>8112816</v>
      </c>
      <c r="H5" s="9">
        <f>'EBIT-EBITDA'!G9</f>
        <v>61072654</v>
      </c>
      <c r="I5" s="230">
        <f>'EBIT-EBITDA'!H9</f>
        <v>12582621</v>
      </c>
      <c r="J5" s="57"/>
    </row>
    <row r="6" spans="1:11" x14ac:dyDescent="0.35">
      <c r="A6" s="9" t="s">
        <v>30</v>
      </c>
      <c r="B6" s="9" t="s">
        <v>61</v>
      </c>
      <c r="C6" s="9">
        <f>'2.Sit. Rezultatului global'!B4+'2.Sit. Rezultatului global'!B45</f>
        <v>197966577.54999998</v>
      </c>
      <c r="D6" s="9">
        <f>'2.Sit. Rezultatului global'!C4+'2.Sit. Rezultatului global'!C45</f>
        <v>200716404.81000003</v>
      </c>
      <c r="E6" s="9">
        <f>'2.Sit. Rezultatului global'!D4+'2.Sit. Rezultatului global'!D45</f>
        <v>185722303.66999996</v>
      </c>
      <c r="F6" s="9">
        <f>'2.Sit. Rezultatului global'!E4+'2.Sit. Rezultatului global'!E45</f>
        <v>182851591.98999998</v>
      </c>
      <c r="G6" s="9">
        <f>'2.Sit. Rezultatului global'!F4+'2.Sit. Rezultatului global'!F45</f>
        <v>266937602</v>
      </c>
      <c r="H6" s="9">
        <f>'2.Sit. Rezultatului global'!G4+'2.Sit. Rezultatului global'!G45</f>
        <v>265048639</v>
      </c>
      <c r="I6" s="230">
        <f>'2.Sit. Rezultatului global'!H4+'2.Sit. Rezultatului global'!H45</f>
        <v>216420862</v>
      </c>
      <c r="J6" s="57"/>
    </row>
    <row r="7" spans="1:11" x14ac:dyDescent="0.35">
      <c r="A7" s="1" t="s">
        <v>27</v>
      </c>
      <c r="B7" s="9" t="s">
        <v>41</v>
      </c>
      <c r="C7" s="18">
        <f t="shared" ref="C7:H7" si="0">C5/C6</f>
        <v>7.965223405459633E-2</v>
      </c>
      <c r="D7" s="18">
        <f t="shared" si="0"/>
        <v>7.3251814040401236E-2</v>
      </c>
      <c r="E7" s="18">
        <f t="shared" si="0"/>
        <v>5.6102168636211307E-2</v>
      </c>
      <c r="F7" s="18">
        <f t="shared" si="0"/>
        <v>5.5824848604863184E-2</v>
      </c>
      <c r="G7" s="18">
        <f t="shared" si="0"/>
        <v>3.0392181315841746E-2</v>
      </c>
      <c r="H7" s="18">
        <f t="shared" si="0"/>
        <v>0.2304205531121403</v>
      </c>
      <c r="I7" s="231">
        <f t="shared" ref="I7" si="1">I5/I6</f>
        <v>5.8139593769846461E-2</v>
      </c>
      <c r="J7" s="57"/>
    </row>
    <row r="8" spans="1:11" x14ac:dyDescent="0.35">
      <c r="A8" s="1" t="s">
        <v>28</v>
      </c>
      <c r="B8" s="1" t="s">
        <v>42</v>
      </c>
      <c r="C8" s="18">
        <f>C5/'1.Pozitia Financiara'!B22</f>
        <v>0.11845168585044275</v>
      </c>
      <c r="D8" s="18">
        <f>D5/'1.Pozitia Financiara'!C22</f>
        <v>0.10717114345239286</v>
      </c>
      <c r="E8" s="18">
        <f>E5/'1.Pozitia Financiara'!D22</f>
        <v>7.6024084354601409E-2</v>
      </c>
      <c r="F8" s="18">
        <f>F5/'1.Pozitia Financiara'!E22</f>
        <v>7.3854820080472908E-2</v>
      </c>
      <c r="G8" s="18">
        <f>G5/'1.Pozitia Financiara'!F22</f>
        <v>6.0478014066000771E-2</v>
      </c>
      <c r="H8" s="18">
        <f>H5/'1.Pozitia Financiara'!G22</f>
        <v>0.38117293016880222</v>
      </c>
      <c r="I8" s="231">
        <f>I5/'1.Pozitia Financiara'!H22</f>
        <v>8.3430200727452636E-2</v>
      </c>
      <c r="J8" s="57"/>
    </row>
    <row r="9" spans="1:11" x14ac:dyDescent="0.35">
      <c r="A9" s="1" t="s">
        <v>29</v>
      </c>
      <c r="B9" s="1" t="s">
        <v>43</v>
      </c>
      <c r="C9" s="18">
        <f>'2.Sit. Rezultatului global'!B16/C6</f>
        <v>2.8986396193825575E-2</v>
      </c>
      <c r="D9" s="18">
        <f>'2.Sit. Rezultatului global'!C16/D6</f>
        <v>2.225058372397427E-2</v>
      </c>
      <c r="E9" s="18">
        <f>'2.Sit. Rezultatului global'!D16/E6</f>
        <v>3.1635401262518808E-3</v>
      </c>
      <c r="F9" s="18">
        <f>'2.Sit. Rezultatului global'!E16/F6</f>
        <v>6.0562909403628533E-3</v>
      </c>
      <c r="G9" s="18">
        <f>'2.Sit. Rezultatului global'!F16/G6</f>
        <v>-2.0917660000556986E-3</v>
      </c>
      <c r="H9" s="18">
        <f>'2.Sit. Rezultatului global'!G16/H6</f>
        <v>0.19763829460750409</v>
      </c>
      <c r="I9" s="231">
        <f>'2.Sit. Rezultatului global'!H16/I6</f>
        <v>1.6155244774877571E-2</v>
      </c>
      <c r="J9" s="57"/>
    </row>
    <row r="10" spans="1:11" x14ac:dyDescent="0.35">
      <c r="A10" s="1" t="s">
        <v>31</v>
      </c>
      <c r="B10" s="1" t="s">
        <v>44</v>
      </c>
      <c r="C10" s="19">
        <f>'1.Pozitia Financiara'!B16/'1.Pozitia Financiara'!B31</f>
        <v>0.79319678611568922</v>
      </c>
      <c r="D10" s="19">
        <f>'1.Pozitia Financiara'!C16/'1.Pozitia Financiara'!C31</f>
        <v>1.1512145385365147</v>
      </c>
      <c r="E10" s="19">
        <f>'1.Pozitia Financiara'!D16/'1.Pozitia Financiara'!D31</f>
        <v>1.1039275542547775</v>
      </c>
      <c r="F10" s="19">
        <f>'1.Pozitia Financiara'!E16/'1.Pozitia Financiara'!E31</f>
        <v>1.1571444819918941</v>
      </c>
      <c r="G10" s="19">
        <f>'1.Pozitia Financiara'!F16/'1.Pozitia Financiara'!F31</f>
        <v>1.18947280717453</v>
      </c>
      <c r="H10" s="19">
        <f>'1.Pozitia Financiara'!G16/'1.Pozitia Financiara'!G31</f>
        <v>1.4742601822691708</v>
      </c>
      <c r="I10" s="232">
        <f>'1.Pozitia Financiara'!H16/'1.Pozitia Financiara'!H31</f>
        <v>1.7689554765528499</v>
      </c>
      <c r="J10" s="57"/>
    </row>
    <row r="11" spans="1:11" x14ac:dyDescent="0.35">
      <c r="A11" s="1" t="s">
        <v>32</v>
      </c>
      <c r="B11" s="1" t="s">
        <v>45</v>
      </c>
      <c r="C11" s="19">
        <f>('1.Pozitia Financiara'!B16-'1.Pozitia Financiara'!B9)/'1.Pozitia Financiara'!B31</f>
        <v>0.47647723750314663</v>
      </c>
      <c r="D11" s="19">
        <f>('1.Pozitia Financiara'!C16-'1.Pozitia Financiara'!C9)/'1.Pozitia Financiara'!C31</f>
        <v>0.86392599047129714</v>
      </c>
      <c r="E11" s="19">
        <f>('1.Pozitia Financiara'!D16-'1.Pozitia Financiara'!D9)/'1.Pozitia Financiara'!D31</f>
        <v>0.76564967713731746</v>
      </c>
      <c r="F11" s="19">
        <f>('1.Pozitia Financiara'!E16-'1.Pozitia Financiara'!E9)/'1.Pozitia Financiara'!E31</f>
        <v>0.82836972848756563</v>
      </c>
      <c r="G11" s="19">
        <f>('1.Pozitia Financiara'!F16-'1.Pozitia Financiara'!F9)/'1.Pozitia Financiara'!F31</f>
        <v>0.87822470906859362</v>
      </c>
      <c r="H11" s="19">
        <f>('1.Pozitia Financiara'!G16-'1.Pozitia Financiara'!G9)/'1.Pozitia Financiara'!G31</f>
        <v>1.1732500415624376</v>
      </c>
      <c r="I11" s="232">
        <f>('1.Pozitia Financiara'!H16-'1.Pozitia Financiara'!H9)/'1.Pozitia Financiara'!H31</f>
        <v>1.3209014042603557</v>
      </c>
      <c r="J11" s="57"/>
    </row>
    <row r="12" spans="1:11" x14ac:dyDescent="0.35">
      <c r="A12" s="1" t="s">
        <v>33</v>
      </c>
      <c r="B12" s="1" t="s">
        <v>46</v>
      </c>
      <c r="C12" s="20">
        <f>'1.Pozitia Financiara'!B27/'1.Pozitia Financiara'!B22</f>
        <v>0.46083018838710216</v>
      </c>
      <c r="D12" s="20">
        <f>'1.Pozitia Financiara'!C27/'1.Pozitia Financiara'!C22</f>
        <v>0.32153662806227506</v>
      </c>
      <c r="E12" s="20">
        <f>'1.Pozitia Financiara'!D27/'1.Pozitia Financiara'!D22</f>
        <v>0.24963134328679032</v>
      </c>
      <c r="F12" s="20">
        <f>'1.Pozitia Financiara'!E27/'1.Pozitia Financiara'!E22</f>
        <v>0.18346612484681837</v>
      </c>
      <c r="G12" s="20">
        <f>'1.Pozitia Financiara'!F27/'1.Pozitia Financiara'!F22</f>
        <v>0.15692057604494056</v>
      </c>
      <c r="H12" s="20">
        <f>'1.Pozitia Financiara'!G27/'1.Pozitia Financiara'!G22</f>
        <v>0.12670226152423339</v>
      </c>
      <c r="I12" s="233">
        <f>'1.Pozitia Financiara'!H27/'1.Pozitia Financiara'!H22</f>
        <v>0.14082831398776929</v>
      </c>
      <c r="J12" s="57"/>
    </row>
    <row r="13" spans="1:11" x14ac:dyDescent="0.35">
      <c r="A13" s="1" t="s">
        <v>34</v>
      </c>
      <c r="B13" s="1" t="s">
        <v>47</v>
      </c>
      <c r="C13" s="20">
        <f>'1.Pozitia Financiara'!B32/'1.Pozitia Financiara'!B33</f>
        <v>0.50639405368343571</v>
      </c>
      <c r="D13" s="20">
        <f>'1.Pozitia Financiara'!C32/'1.Pozitia Financiara'!C33</f>
        <v>0.45847529837937478</v>
      </c>
      <c r="E13" s="20">
        <f>'1.Pozitia Financiara'!D32/'1.Pozitia Financiara'!D33</f>
        <v>0.4433099577458306</v>
      </c>
      <c r="F13" s="20">
        <f>'1.Pozitia Financiara'!E32/'1.Pozitia Financiara'!E33</f>
        <v>0.40259328061249716</v>
      </c>
      <c r="G13" s="20">
        <f>'1.Pozitia Financiara'!F32/'1.Pozitia Financiara'!F33</f>
        <v>0.4502774227677922</v>
      </c>
      <c r="H13" s="20">
        <f>'1.Pozitia Financiara'!G32/'1.Pozitia Financiara'!G33</f>
        <v>0.42791289788430387</v>
      </c>
      <c r="I13" s="233">
        <f>'1.Pozitia Financiara'!H32/'1.Pozitia Financiara'!H33</f>
        <v>0.37455529389265158</v>
      </c>
      <c r="J13" s="57"/>
    </row>
    <row r="14" spans="1:11" x14ac:dyDescent="0.35">
      <c r="A14" s="1" t="s">
        <v>35</v>
      </c>
      <c r="B14" s="1" t="s">
        <v>48</v>
      </c>
      <c r="C14" s="19">
        <f>'EBIT-EBITDA'!B6/'EBIT-EBITDA'!B5</f>
        <v>4.6143546324078724</v>
      </c>
      <c r="D14" s="19">
        <f>'EBIT-EBITDA'!C6/'EBIT-EBITDA'!C5</f>
        <v>3.6227203318646684</v>
      </c>
      <c r="E14" s="19">
        <f>'EBIT-EBITDA'!D6/'EBIT-EBITDA'!D5</f>
        <v>1.3989793776255264</v>
      </c>
      <c r="F14" s="19">
        <f>'EBIT-EBITDA'!E6/'EBIT-EBITDA'!E5</f>
        <v>1.9547741533877092</v>
      </c>
      <c r="G14" s="19">
        <f>'EBIT-EBITDA'!F6/'EBIT-EBITDA'!F5</f>
        <v>0.41412510295838123</v>
      </c>
      <c r="H14" s="19">
        <f>'EBIT-EBITDA'!G6/'EBIT-EBITDA'!G5</f>
        <v>41.721238900216804</v>
      </c>
      <c r="I14" s="232">
        <f>'EBIT-EBITDA'!H6/'EBIT-EBITDA'!H5</f>
        <v>2.9343875555889971</v>
      </c>
      <c r="J14" s="57"/>
    </row>
    <row r="15" spans="1:11" x14ac:dyDescent="0.35">
      <c r="A15" s="1" t="s">
        <v>36</v>
      </c>
      <c r="B15" s="1" t="s">
        <v>50</v>
      </c>
      <c r="C15" s="22">
        <f>(29483703.06+'1.Pozitia Financiara'!B10)/2/C6*360</f>
        <v>56.352211340231861</v>
      </c>
      <c r="D15" s="22">
        <f>('1.Pozitia Financiara'!B10+'1.Pozitia Financiara'!C10)/2/D6*360</f>
        <v>61.174983824681618</v>
      </c>
      <c r="E15" s="21">
        <f>('1.Pozitia Financiara'!C10+'1.Pozitia Financiara'!D10)/2/E6*360</f>
        <v>79.074408549737555</v>
      </c>
      <c r="F15" s="21">
        <f>('1.Pozitia Financiara'!D10+'1.Pozitia Financiara'!E10)/2/F6*360</f>
        <v>81.415906263556948</v>
      </c>
      <c r="G15" s="21">
        <f>('1.Pozitia Financiara'!E10+'1.Pozitia Financiara'!F10)/2/G6*360</f>
        <v>63.951771651863417</v>
      </c>
      <c r="H15" s="21">
        <f>('1.Pozitia Financiara'!F10+'1.Pozitia Financiara'!G10)/2/H6*360</f>
        <v>82.617395367949797</v>
      </c>
      <c r="I15" s="234">
        <f>('1.Pozitia Financiara'!G10+'1.Pozitia Financiara'!H10)/2/I6*360</f>
        <v>99.00902566407855</v>
      </c>
      <c r="J15" s="57"/>
      <c r="K15" s="42"/>
    </row>
    <row r="16" spans="1:11" x14ac:dyDescent="0.35">
      <c r="A16" s="1" t="s">
        <v>37</v>
      </c>
      <c r="B16" s="1" t="s">
        <v>51</v>
      </c>
      <c r="C16" s="22">
        <f>(28922894.79+'1.Pozitia Financiara'!B28)/2/C6*360</f>
        <v>52.276404142947719</v>
      </c>
      <c r="D16" s="22">
        <f>('1.Pozitia Financiara'!B28+'1.Pozitia Financiara'!C28)/2/D6*360</f>
        <v>47.62705632581023</v>
      </c>
      <c r="E16" s="21">
        <f>('1.Pozitia Financiara'!C28+'1.Pozitia Financiara'!D28)/2/E6*360</f>
        <v>46.695633022135894</v>
      </c>
      <c r="F16" s="21">
        <f>('1.Pozitia Financiara'!D28+'1.Pozitia Financiara'!E28)/2/F6*360</f>
        <v>48.996371504875739</v>
      </c>
      <c r="G16" s="21">
        <f>('1.Pozitia Financiara'!E28+'1.Pozitia Financiara'!F28)/2/G6*360</f>
        <v>42.67836181430895</v>
      </c>
      <c r="H16" s="21">
        <f>('1.Pozitia Financiara'!F28+'1.Pozitia Financiara'!G28)/2/H6*360</f>
        <v>57.876568836107097</v>
      </c>
      <c r="I16" s="234">
        <f>('1.Pozitia Financiara'!G28+'1.Pozitia Financiara'!H28)/2/I6*360</f>
        <v>60.576656976812153</v>
      </c>
      <c r="J16" s="57"/>
      <c r="K16" s="42"/>
    </row>
    <row r="17" spans="1:11" s="42" customFormat="1" x14ac:dyDescent="0.35">
      <c r="A17" s="42" t="s">
        <v>38</v>
      </c>
      <c r="B17" s="42" t="s">
        <v>52</v>
      </c>
      <c r="C17" s="43">
        <f>'2.Sit. Rezultatului global'!B18/'1.Pozitia Financiara'!B17</f>
        <v>1.7790902471257249E-2</v>
      </c>
      <c r="D17" s="43">
        <f>'2.Sit. Rezultatului global'!C18/'1.Pozitia Financiara'!C17</f>
        <v>1.8948208866597697E-2</v>
      </c>
      <c r="E17" s="43">
        <f>'2.Sit. Rezultatului global'!D18/'1.Pozitia Financiara'!D17</f>
        <v>1.5032722172766025E-3</v>
      </c>
      <c r="F17" s="43">
        <f>'2.Sit. Rezultatului global'!E18/'1.Pozitia Financiara'!E17</f>
        <v>3.7566014000971256E-3</v>
      </c>
      <c r="G17" s="43">
        <f>'2.Sit. Rezultatului global'!F18/'1.Pozitia Financiara'!F17</f>
        <v>-5.9316489474941425E-3</v>
      </c>
      <c r="H17" s="43">
        <f>'2.Sit. Rezultatului global'!G18/'1.Pozitia Financiara'!G17</f>
        <v>0.18378321388239174</v>
      </c>
      <c r="I17" s="235">
        <f>'2.Sit. Rezultatului global'!H18/'1.Pozitia Financiara'!H17</f>
        <v>1.3742589278678712E-2</v>
      </c>
      <c r="J17" s="57"/>
    </row>
    <row r="18" spans="1:11" s="42" customFormat="1" x14ac:dyDescent="0.35">
      <c r="A18" s="42" t="s">
        <v>39</v>
      </c>
      <c r="B18" s="42" t="s">
        <v>53</v>
      </c>
      <c r="C18" s="43">
        <f>'2.Sit. Rezultatului global'!B18/'1.Pozitia Financiara'!B22</f>
        <v>3.6042723137318058E-2</v>
      </c>
      <c r="D18" s="43">
        <f>'2.Sit. Rezultatului global'!C18/'1.Pozitia Financiara'!C22</f>
        <v>3.4990479307575893E-2</v>
      </c>
      <c r="E18" s="43">
        <f>'2.Sit. Rezultatului global'!D18/'1.Pozitia Financiara'!D22</f>
        <v>2.7003756187006654E-3</v>
      </c>
      <c r="F18" s="43">
        <f>'2.Sit. Rezultatului global'!E18/'1.Pozitia Financiara'!E22</f>
        <v>6.2881806955753577E-3</v>
      </c>
      <c r="G18" s="43">
        <f>'2.Sit. Rezultatului global'!F18/'1.Pozitia Financiara'!F22</f>
        <v>-1.0790258929075348E-2</v>
      </c>
      <c r="H18" s="43">
        <f>'2.Sit. Rezultatului global'!G18/'1.Pozitia Financiara'!G22</f>
        <v>0.32125040608256905</v>
      </c>
      <c r="I18" s="235">
        <f>'2.Sit. Rezultatului global'!H18/'1.Pozitia Financiara'!H22</f>
        <v>2.1972508751748866E-2</v>
      </c>
      <c r="J18" s="57"/>
      <c r="K18" s="1"/>
    </row>
    <row r="19" spans="1:11" s="42" customFormat="1" x14ac:dyDescent="0.35">
      <c r="A19" s="42" t="s">
        <v>40</v>
      </c>
      <c r="B19" s="42" t="s">
        <v>54</v>
      </c>
      <c r="C19" s="43">
        <f>'2.Sit. Rezultatului global'!B18/C6</f>
        <v>2.4236745966819365E-2</v>
      </c>
      <c r="D19" s="43">
        <f>'2.Sit. Rezultatului global'!C18/D6</f>
        <v>2.3916102794607527E-2</v>
      </c>
      <c r="E19" s="43">
        <f>'2.Sit. Rezultatului global'!D18/E6</f>
        <v>1.9927491350612853E-3</v>
      </c>
      <c r="F19" s="43">
        <f>'2.Sit. Rezultatului global'!E18/F6</f>
        <v>4.753064660478824E-3</v>
      </c>
      <c r="G19" s="43">
        <f>'2.Sit. Rezultatului global'!F18/G6</f>
        <v>-5.4224582417579372E-3</v>
      </c>
      <c r="H19" s="43">
        <f>'2.Sit. Rezultatului global'!G18/H6</f>
        <v>0.19419714884859304</v>
      </c>
      <c r="I19" s="235">
        <f>'2.Sit. Rezultatului global'!H18/I6</f>
        <v>1.531187413900976E-2</v>
      </c>
      <c r="J19" s="57"/>
      <c r="K19" s="1"/>
    </row>
    <row r="20" spans="1:11" x14ac:dyDescent="0.35">
      <c r="K20" s="44"/>
    </row>
    <row r="21" spans="1:11" x14ac:dyDescent="0.35">
      <c r="A21" s="13" t="s">
        <v>24</v>
      </c>
    </row>
    <row r="22" spans="1:11" x14ac:dyDescent="0.35">
      <c r="I22" s="44"/>
      <c r="J22" s="44"/>
      <c r="K22" s="44"/>
    </row>
    <row r="23" spans="1:11" x14ac:dyDescent="0.35">
      <c r="I23" s="44"/>
      <c r="J23" s="44"/>
      <c r="K23" s="44"/>
    </row>
    <row r="24" spans="1:11" x14ac:dyDescent="0.35">
      <c r="D24" s="161"/>
      <c r="E24" s="161"/>
      <c r="F24" s="161"/>
      <c r="I24" s="44"/>
      <c r="J24" s="44"/>
      <c r="K24" s="44"/>
    </row>
    <row r="25" spans="1:11" x14ac:dyDescent="0.35">
      <c r="D25" s="161"/>
      <c r="E25" s="161"/>
      <c r="F25" s="161"/>
      <c r="I25" s="44"/>
      <c r="J25" s="44"/>
      <c r="K25" s="44"/>
    </row>
    <row r="26" spans="1:11" x14ac:dyDescent="0.35">
      <c r="D26" s="161"/>
      <c r="E26" s="161"/>
      <c r="F26" s="161"/>
      <c r="I26" s="44"/>
      <c r="J26" s="44"/>
      <c r="K26" s="44"/>
    </row>
    <row r="27" spans="1:11" x14ac:dyDescent="0.35">
      <c r="D27" s="162"/>
      <c r="E27" s="162"/>
      <c r="F27" s="162"/>
      <c r="I27" s="44"/>
      <c r="J27" s="44"/>
      <c r="K27" s="44"/>
    </row>
    <row r="28" spans="1:11" x14ac:dyDescent="0.35">
      <c r="D28" s="162"/>
      <c r="E28" s="162"/>
      <c r="F28" s="162"/>
      <c r="I28" s="44"/>
      <c r="J28" s="44"/>
      <c r="K28" s="44"/>
    </row>
    <row r="29" spans="1:11" x14ac:dyDescent="0.35">
      <c r="D29" s="162"/>
      <c r="E29" s="162"/>
      <c r="F29" s="162"/>
      <c r="I29" s="44"/>
      <c r="J29" s="44"/>
      <c r="K29" s="44"/>
    </row>
    <row r="30" spans="1:11" x14ac:dyDescent="0.35">
      <c r="D30" s="162"/>
      <c r="E30" s="162"/>
      <c r="F30" s="162"/>
      <c r="I30" s="44"/>
      <c r="J30" s="44"/>
      <c r="K30" s="44"/>
    </row>
    <row r="31" spans="1:11" x14ac:dyDescent="0.35">
      <c r="D31" s="162"/>
      <c r="E31" s="162"/>
      <c r="F31" s="162"/>
      <c r="I31" s="44"/>
      <c r="J31" s="44"/>
      <c r="K31" s="44"/>
    </row>
    <row r="32" spans="1:11" x14ac:dyDescent="0.35">
      <c r="D32" s="162"/>
      <c r="E32" s="162"/>
      <c r="F32" s="162"/>
      <c r="I32" s="44"/>
      <c r="J32" s="44"/>
      <c r="K32" s="44"/>
    </row>
    <row r="33" spans="4:11" x14ac:dyDescent="0.35">
      <c r="D33" s="162"/>
      <c r="E33" s="162"/>
      <c r="F33" s="162"/>
      <c r="I33" s="44"/>
      <c r="J33" s="44"/>
      <c r="K33" s="44"/>
    </row>
    <row r="34" spans="4:11" x14ac:dyDescent="0.35">
      <c r="D34" s="162"/>
      <c r="E34" s="162"/>
      <c r="F34" s="162"/>
      <c r="I34" s="44"/>
      <c r="J34" s="44"/>
      <c r="K34" s="44"/>
    </row>
    <row r="35" spans="4:11" x14ac:dyDescent="0.35">
      <c r="D35" s="162"/>
      <c r="E35" s="162"/>
      <c r="F35" s="162"/>
      <c r="I35" s="44"/>
      <c r="J35" s="44"/>
      <c r="K35" s="44"/>
    </row>
    <row r="36" spans="4:11" x14ac:dyDescent="0.35">
      <c r="D36" s="162"/>
      <c r="E36" s="162"/>
      <c r="F36" s="162"/>
      <c r="I36" s="44"/>
      <c r="J36" s="44"/>
      <c r="K36" s="44"/>
    </row>
    <row r="37" spans="4:11" x14ac:dyDescent="0.35">
      <c r="D37" s="161"/>
      <c r="E37" s="161"/>
      <c r="F37" s="161"/>
      <c r="I37" s="44"/>
      <c r="J37" s="44"/>
      <c r="K37" s="44"/>
    </row>
    <row r="38" spans="4:11" x14ac:dyDescent="0.35">
      <c r="D38" s="161"/>
      <c r="E38" s="161"/>
      <c r="F38" s="161"/>
      <c r="J38" s="44"/>
      <c r="K38" s="44"/>
    </row>
    <row r="39" spans="4:11" x14ac:dyDescent="0.35">
      <c r="D39" s="162"/>
      <c r="E39" s="162"/>
      <c r="F39" s="162"/>
    </row>
    <row r="40" spans="4:11" x14ac:dyDescent="0.35">
      <c r="D40" s="162"/>
      <c r="E40" s="162"/>
      <c r="F40" s="162"/>
    </row>
    <row r="41" spans="4:11" x14ac:dyDescent="0.35">
      <c r="D41" s="162"/>
      <c r="E41" s="162"/>
      <c r="F41" s="162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D49E-853A-49F6-AD4D-C89CC2595DE3}">
  <dimension ref="B1:X21"/>
  <sheetViews>
    <sheetView zoomScale="90" zoomScaleNormal="90" workbookViewId="0">
      <selection activeCell="Z20" sqref="Z20"/>
    </sheetView>
  </sheetViews>
  <sheetFormatPr defaultColWidth="9.08984375" defaultRowHeight="14.5" x14ac:dyDescent="0.35"/>
  <cols>
    <col min="1" max="1" width="4.54296875" style="141" customWidth="1"/>
    <col min="2" max="2" width="10.453125" style="141" customWidth="1"/>
    <col min="3" max="4" width="9.08984375" style="141"/>
    <col min="5" max="5" width="14.6328125" style="141" customWidth="1"/>
    <col min="6" max="6" width="9.08984375" style="141"/>
    <col min="7" max="7" width="15.6328125" style="141" customWidth="1"/>
    <col min="8" max="8" width="9.08984375" style="141"/>
    <col min="9" max="9" width="1.08984375" style="141" customWidth="1"/>
    <col min="10" max="16" width="9.08984375" style="141"/>
    <col min="17" max="18" width="3.6328125" style="141" customWidth="1"/>
    <col min="19" max="16384" width="9.08984375" style="141"/>
  </cols>
  <sheetData>
    <row r="1" spans="2:21" ht="3.75" customHeight="1" x14ac:dyDescent="0.35"/>
    <row r="2" spans="2:21" x14ac:dyDescent="0.35">
      <c r="B2" s="207" t="s">
        <v>142</v>
      </c>
      <c r="C2" s="207"/>
      <c r="D2" s="207"/>
      <c r="E2" s="207"/>
      <c r="F2" s="239" t="s">
        <v>80</v>
      </c>
      <c r="G2" s="239"/>
      <c r="H2" s="239"/>
      <c r="I2" s="142"/>
      <c r="J2" s="207" t="s">
        <v>140</v>
      </c>
      <c r="K2" s="207"/>
      <c r="L2" s="207"/>
      <c r="M2" s="207"/>
      <c r="N2" s="239" t="s">
        <v>89</v>
      </c>
      <c r="O2" s="239"/>
      <c r="P2" s="239"/>
      <c r="Q2" s="142"/>
      <c r="R2" s="142"/>
      <c r="S2" s="207" t="s">
        <v>134</v>
      </c>
      <c r="T2" s="207"/>
      <c r="U2" s="238">
        <v>2023</v>
      </c>
    </row>
    <row r="3" spans="2:21" x14ac:dyDescent="0.35">
      <c r="B3" s="207" t="s">
        <v>141</v>
      </c>
      <c r="C3" s="207"/>
      <c r="D3" s="207"/>
      <c r="E3" s="207"/>
      <c r="F3" s="239" t="s">
        <v>81</v>
      </c>
      <c r="G3" s="239"/>
      <c r="H3" s="239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2:21" ht="1.25" customHeight="1" x14ac:dyDescent="0.35"/>
    <row r="18" spans="2:24" ht="6.75" customHeight="1" x14ac:dyDescent="0.35"/>
    <row r="19" spans="2:24" ht="5.25" customHeight="1" x14ac:dyDescent="0.35"/>
    <row r="20" spans="2:24" s="143" customFormat="1" x14ac:dyDescent="0.35">
      <c r="B20" s="206" t="s">
        <v>140</v>
      </c>
      <c r="C20" s="206"/>
      <c r="D20" s="206"/>
      <c r="E20" s="206"/>
      <c r="F20" s="240" t="s">
        <v>87</v>
      </c>
      <c r="G20" s="240"/>
      <c r="H20" s="240"/>
      <c r="O20" s="206" t="s">
        <v>140</v>
      </c>
      <c r="P20" s="206"/>
      <c r="Q20" s="206"/>
      <c r="R20" s="206"/>
      <c r="S20" s="206"/>
      <c r="T20" s="240" t="s">
        <v>87</v>
      </c>
      <c r="U20" s="240"/>
      <c r="V20" s="240"/>
      <c r="W20" s="240"/>
      <c r="X20" s="240"/>
    </row>
    <row r="21" spans="2:24" s="143" customFormat="1" x14ac:dyDescent="0.35">
      <c r="B21" s="206" t="s">
        <v>134</v>
      </c>
      <c r="C21" s="206"/>
      <c r="D21" s="206"/>
      <c r="E21" s="206"/>
      <c r="F21" s="239">
        <v>2023</v>
      </c>
      <c r="G21" s="239"/>
      <c r="H21" s="239"/>
    </row>
  </sheetData>
  <mergeCells count="13">
    <mergeCell ref="T20:X20"/>
    <mergeCell ref="F2:H2"/>
    <mergeCell ref="F3:H3"/>
    <mergeCell ref="F21:H21"/>
    <mergeCell ref="B21:E21"/>
    <mergeCell ref="B20:E20"/>
    <mergeCell ref="F20:H20"/>
    <mergeCell ref="O20:S20"/>
    <mergeCell ref="S2:T2"/>
    <mergeCell ref="B2:E2"/>
    <mergeCell ref="B3:E3"/>
    <mergeCell ref="J2:M2"/>
    <mergeCell ref="N2:P2"/>
  </mergeCells>
  <dataValidations count="4">
    <dataValidation type="list" allowBlank="1" showInputMessage="1" showErrorMessage="1" sqref="T20 F2:F3" xr:uid="{3E6CC772-2AAB-4AD0-A3D6-39532E581268}">
      <formula1>List1</formula1>
    </dataValidation>
    <dataValidation type="list" allowBlank="1" showInputMessage="1" showErrorMessage="1" sqref="N2" xr:uid="{3D62F296-CEC4-4A85-A2D7-B4EEB2B274B5}">
      <formula1>List2</formula1>
    </dataValidation>
    <dataValidation type="list" allowBlank="1" showInputMessage="1" showErrorMessage="1" sqref="F20" xr:uid="{EBC18753-CD2B-4717-AE19-6F1D8CEF1D72}">
      <formula1>List3</formula1>
    </dataValidation>
    <dataValidation type="list" allowBlank="1" showInputMessage="1" showErrorMessage="1" sqref="F21:H21 U2" xr:uid="{6E9DB746-D20B-4997-8B41-F947BA09EB3A}">
      <formula1>"2023,2022,2021,2020,2019,2017"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"/>
  <sheetViews>
    <sheetView showGridLines="0"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N9" sqref="N9"/>
    </sheetView>
  </sheetViews>
  <sheetFormatPr defaultColWidth="9.08984375" defaultRowHeight="14.5" x14ac:dyDescent="0.35"/>
  <cols>
    <col min="1" max="1" width="40.08984375" style="1" customWidth="1"/>
    <col min="2" max="3" width="11.90625" style="1" bestFit="1" customWidth="1"/>
    <col min="4" max="4" width="12" style="1" bestFit="1" customWidth="1"/>
    <col min="5" max="6" width="11.90625" style="1" bestFit="1" customWidth="1"/>
    <col min="7" max="7" width="12.90625" style="1" bestFit="1" customWidth="1"/>
    <col min="8" max="8" width="10.7265625" style="1" bestFit="1" customWidth="1"/>
    <col min="9" max="9" width="13.1796875" style="1" bestFit="1" customWidth="1"/>
    <col min="10" max="16384" width="9.08984375" style="1"/>
  </cols>
  <sheetData>
    <row r="1" spans="1:9" ht="15" thickBot="1" x14ac:dyDescent="0.4">
      <c r="H1" s="40"/>
    </row>
    <row r="2" spans="1:9" s="23" customFormat="1" ht="21.75" customHeight="1" thickBot="1" x14ac:dyDescent="0.4">
      <c r="A2" s="228" t="s">
        <v>0</v>
      </c>
      <c r="B2" s="229">
        <f>'1.Pozitia Financiara'!B3</f>
        <v>2017</v>
      </c>
      <c r="C2" s="229">
        <f>'1.Pozitia Financiara'!C3</f>
        <v>2018</v>
      </c>
      <c r="D2" s="229">
        <f>'1.Pozitia Financiara'!D3</f>
        <v>2019</v>
      </c>
      <c r="E2" s="229">
        <f>'1.Pozitia Financiara'!E3</f>
        <v>2020</v>
      </c>
      <c r="F2" s="229">
        <f>'1.Pozitia Financiara'!F3</f>
        <v>2021</v>
      </c>
      <c r="G2" s="229">
        <f>'1.Pozitia Financiara'!G3</f>
        <v>2022</v>
      </c>
      <c r="H2" s="229">
        <f>'1.Pozitia Financiara'!H3</f>
        <v>2023</v>
      </c>
    </row>
    <row r="3" spans="1:9" x14ac:dyDescent="0.35">
      <c r="A3" s="10" t="s">
        <v>55</v>
      </c>
      <c r="B3" s="10">
        <f>'2.Sit. Rezultatului global'!B18</f>
        <v>4798065.6499999948</v>
      </c>
      <c r="C3" s="10">
        <f>'2.Sit. Rezultatului global'!C18</f>
        <v>4800354.1700000176</v>
      </c>
      <c r="D3" s="10">
        <f>'2.Sit. Rezultatului global'!D18</f>
        <v>370097.9599999818</v>
      </c>
      <c r="E3" s="10">
        <f>'2.Sit. Rezultatului global'!E18</f>
        <v>869105.43999996176</v>
      </c>
      <c r="F3" s="10">
        <f>'2.Sit. Rezultatului global'!F18</f>
        <v>-1447458</v>
      </c>
      <c r="G3" s="10">
        <f>'2.Sit. Rezultatului global'!G18</f>
        <v>51471690</v>
      </c>
      <c r="H3" s="236">
        <f>'2.Sit. Rezultatului global'!H18</f>
        <v>3313809</v>
      </c>
    </row>
    <row r="4" spans="1:9" x14ac:dyDescent="0.35">
      <c r="A4" s="10" t="s">
        <v>56</v>
      </c>
      <c r="B4" s="10">
        <f>-'2.Sit. Rezultatului global'!B17</f>
        <v>940272</v>
      </c>
      <c r="C4" s="10">
        <f>-'2.Sit. Rezultatului global'!C17</f>
        <v>-334297</v>
      </c>
      <c r="D4" s="10">
        <f>-'2.Sit. Rezultatului global'!D17</f>
        <v>217442</v>
      </c>
      <c r="E4" s="10">
        <f>-'2.Sit. Rezultatului global'!E17</f>
        <v>238297</v>
      </c>
      <c r="F4" s="10">
        <f>-'2.Sit. Rezultatului global'!F17</f>
        <v>889087</v>
      </c>
      <c r="G4" s="10">
        <f>-'2.Sit. Rezultatului global'!G17</f>
        <v>912071</v>
      </c>
      <c r="H4" s="236">
        <f>-'2.Sit. Rezultatului global'!H17</f>
        <v>182523</v>
      </c>
    </row>
    <row r="5" spans="1:9" x14ac:dyDescent="0.35">
      <c r="A5" s="10" t="s">
        <v>57</v>
      </c>
      <c r="B5" s="10">
        <v>1587652.08</v>
      </c>
      <c r="C5" s="10">
        <v>1702833.93</v>
      </c>
      <c r="D5" s="10">
        <v>1472607.34</v>
      </c>
      <c r="E5" s="10">
        <v>1159858</v>
      </c>
      <c r="F5" s="10">
        <v>953055</v>
      </c>
      <c r="G5" s="10">
        <v>1286399</v>
      </c>
      <c r="H5" s="236">
        <v>1807462</v>
      </c>
    </row>
    <row r="6" spans="1:9" x14ac:dyDescent="0.35">
      <c r="A6" s="16" t="s">
        <v>49</v>
      </c>
      <c r="B6" s="16">
        <f t="shared" ref="B6:H6" si="0">B3+B4+B5</f>
        <v>7325989.7299999949</v>
      </c>
      <c r="C6" s="16">
        <f t="shared" si="0"/>
        <v>6168891.1000000173</v>
      </c>
      <c r="D6" s="16">
        <f t="shared" si="0"/>
        <v>2060147.2999999819</v>
      </c>
      <c r="E6" s="16">
        <f t="shared" si="0"/>
        <v>2267260.4399999618</v>
      </c>
      <c r="F6" s="16">
        <f t="shared" si="0"/>
        <v>394684</v>
      </c>
      <c r="G6" s="16">
        <f t="shared" si="0"/>
        <v>53670160</v>
      </c>
      <c r="H6" s="213">
        <f t="shared" si="0"/>
        <v>5303794</v>
      </c>
    </row>
    <row r="7" spans="1:9" x14ac:dyDescent="0.35">
      <c r="A7" s="10" t="s">
        <v>58</v>
      </c>
      <c r="B7" s="10">
        <v>10706926.199999999</v>
      </c>
      <c r="C7" s="10">
        <v>10797118.58</v>
      </c>
      <c r="D7" s="10">
        <v>10634489.470000001</v>
      </c>
      <c r="E7" s="10">
        <v>10202833</v>
      </c>
      <c r="F7" s="10">
        <v>9977583</v>
      </c>
      <c r="G7" s="10">
        <v>9609158</v>
      </c>
      <c r="H7" s="236">
        <v>9392805</v>
      </c>
    </row>
    <row r="8" spans="1:9" x14ac:dyDescent="0.35">
      <c r="A8" s="10" t="s">
        <v>59</v>
      </c>
      <c r="B8" s="10">
        <v>2264435.7599999998</v>
      </c>
      <c r="C8" s="10">
        <v>2263168.92</v>
      </c>
      <c r="D8" s="10">
        <v>2275212.77</v>
      </c>
      <c r="E8" s="10">
        <v>2262431</v>
      </c>
      <c r="F8" s="10">
        <v>2259451</v>
      </c>
      <c r="G8" s="10">
        <v>2206664</v>
      </c>
      <c r="H8" s="236">
        <v>2113978</v>
      </c>
    </row>
    <row r="9" spans="1:9" x14ac:dyDescent="0.35">
      <c r="A9" s="16" t="s">
        <v>25</v>
      </c>
      <c r="B9" s="16">
        <f t="shared" ref="B9:H9" si="1">B6+B7-B8</f>
        <v>15768480.169999992</v>
      </c>
      <c r="C9" s="16">
        <f t="shared" si="1"/>
        <v>14702840.760000018</v>
      </c>
      <c r="D9" s="16">
        <f t="shared" si="1"/>
        <v>10419423.999999983</v>
      </c>
      <c r="E9" s="16">
        <f t="shared" si="1"/>
        <v>10207662.439999962</v>
      </c>
      <c r="F9" s="16">
        <f>F6+F7-F8</f>
        <v>8112816</v>
      </c>
      <c r="G9" s="16">
        <f t="shared" si="1"/>
        <v>61072654</v>
      </c>
      <c r="H9" s="213">
        <f t="shared" si="1"/>
        <v>12582621</v>
      </c>
    </row>
    <row r="12" spans="1:9" x14ac:dyDescent="0.35">
      <c r="A12" s="1" t="s">
        <v>84</v>
      </c>
    </row>
    <row r="14" spans="1:9" x14ac:dyDescent="0.35">
      <c r="A14" s="1" t="s">
        <v>24</v>
      </c>
    </row>
    <row r="15" spans="1:9" x14ac:dyDescent="0.35">
      <c r="G15" s="161"/>
      <c r="H15" s="161"/>
      <c r="I15" s="161"/>
    </row>
    <row r="16" spans="1:9" x14ac:dyDescent="0.35">
      <c r="G16" s="161"/>
      <c r="H16" s="161"/>
      <c r="I16" s="161"/>
    </row>
    <row r="17" spans="7:9" x14ac:dyDescent="0.35">
      <c r="G17" s="161"/>
      <c r="H17" s="161"/>
      <c r="I17" s="161"/>
    </row>
    <row r="18" spans="7:9" x14ac:dyDescent="0.35">
      <c r="G18" s="161"/>
      <c r="H18" s="161"/>
      <c r="I18" s="161"/>
    </row>
    <row r="19" spans="7:9" x14ac:dyDescent="0.35">
      <c r="G19" s="161"/>
      <c r="H19" s="161"/>
      <c r="I19" s="161"/>
    </row>
    <row r="22" spans="7:9" x14ac:dyDescent="0.35">
      <c r="G22" s="190"/>
      <c r="H22" s="190"/>
      <c r="I22" s="190"/>
    </row>
  </sheetData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beb21d21-9938-4ab8-bb7d-321daa53b3ce}" enabled="1" method="Standard" siteId="{da7cd86b-2037-41c5-9ffe-1c010686ff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Cuprins</vt:lpstr>
      <vt:lpstr>HiddenPage</vt:lpstr>
      <vt:lpstr>Snapshots</vt:lpstr>
      <vt:lpstr>1.Pozitia Financiara</vt:lpstr>
      <vt:lpstr>2.Sit. Rezultatului global</vt:lpstr>
      <vt:lpstr>3.Fluxurile de numerar</vt:lpstr>
      <vt:lpstr>4.Indicatori financiari</vt:lpstr>
      <vt:lpstr>Grafice</vt:lpstr>
      <vt:lpstr>EBIT-EBITDA</vt:lpstr>
      <vt:lpstr>List1</vt:lpstr>
      <vt:lpstr>List2</vt:lpstr>
      <vt:lpstr>List3</vt:lpstr>
      <vt:lpstr>Selection1</vt:lpstr>
      <vt:lpstr>Selection2</vt:lpstr>
      <vt:lpstr>Selection3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2024-03-26T08:17:25Z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b21d21-9938-4ab8-bb7d-321daa53b3ce_Enabled">
    <vt:lpwstr>True</vt:lpwstr>
  </property>
  <property fmtid="{D5CDD505-2E9C-101B-9397-08002B2CF9AE}" pid="3" name="MSIP_Label_beb21d21-9938-4ab8-bb7d-321daa53b3ce_SiteId">
    <vt:lpwstr>da7cd86b-2037-41c5-9ffe-1c010686ff18</vt:lpwstr>
  </property>
  <property fmtid="{D5CDD505-2E9C-101B-9397-08002B2CF9AE}" pid="4" name="MSIP_Label_beb21d21-9938-4ab8-bb7d-321daa53b3ce_Owner">
    <vt:lpwstr>adrian.coman@romcarbon.com</vt:lpwstr>
  </property>
  <property fmtid="{D5CDD505-2E9C-101B-9397-08002B2CF9AE}" pid="5" name="MSIP_Label_beb21d21-9938-4ab8-bb7d-321daa53b3ce_SetDate">
    <vt:lpwstr>2020-02-08T09:28:08.5395460Z</vt:lpwstr>
  </property>
  <property fmtid="{D5CDD505-2E9C-101B-9397-08002B2CF9AE}" pid="6" name="MSIP_Label_beb21d21-9938-4ab8-bb7d-321daa53b3ce_Name">
    <vt:lpwstr>General</vt:lpwstr>
  </property>
  <property fmtid="{D5CDD505-2E9C-101B-9397-08002B2CF9AE}" pid="7" name="MSIP_Label_beb21d21-9938-4ab8-bb7d-321daa53b3ce_Application">
    <vt:lpwstr>Microsoft Azure Information Protection</vt:lpwstr>
  </property>
  <property fmtid="{D5CDD505-2E9C-101B-9397-08002B2CF9AE}" pid="8" name="MSIP_Label_beb21d21-9938-4ab8-bb7d-321daa53b3ce_ActionId">
    <vt:lpwstr>b0426b90-f439-480a-a304-a05548880ac6</vt:lpwstr>
  </property>
  <property fmtid="{D5CDD505-2E9C-101B-9397-08002B2CF9AE}" pid="9" name="MSIP_Label_beb21d21-9938-4ab8-bb7d-321daa53b3ce_Extended_MSFT_Method">
    <vt:lpwstr>Automatic</vt:lpwstr>
  </property>
  <property fmtid="{D5CDD505-2E9C-101B-9397-08002B2CF9AE}" pid="10" name="Sensitivity">
    <vt:lpwstr>General</vt:lpwstr>
  </property>
</Properties>
</file>