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78" documentId="8_{40F13BBE-F69E-480B-8C00-70904D67CCFE}" xr6:coauthVersionLast="47" xr6:coauthVersionMax="47" xr10:uidLastSave="{FBEF3440-44D4-4A03-A707-AD7D40B3CD79}"/>
  <bookViews>
    <workbookView xWindow="-120" yWindow="-120" windowWidth="29040" windowHeight="15720" tabRatio="795" xr2:uid="{00000000-000D-0000-FFFF-FFFF00000000}"/>
  </bookViews>
  <sheets>
    <sheet name="Contents" sheetId="6" r:id="rId1"/>
    <sheet name="Snapshots" sheetId="8" r:id="rId2"/>
    <sheet name="1.FinancialPosition" sheetId="1" r:id="rId3"/>
    <sheet name="2.Comprehensive income" sheetId="2" r:id="rId4"/>
    <sheet name="3.Statement of cash flow" sheetId="7" r:id="rId5"/>
    <sheet name="4.Financial ratios" sheetId="3" r:id="rId6"/>
    <sheet name="hiddenPage" sheetId="10" state="hidden" r:id="rId7"/>
    <sheet name="Charts" sheetId="9" r:id="rId8"/>
    <sheet name="EBIT-EBITDA" sheetId="5" r:id="rId9"/>
  </sheets>
  <definedNames>
    <definedName name="Area">INDEX(hiddenPage!XEW1048572:XEW1,MATCH(hiddenPage!B1048571,hiddenPage!XFD1048572:XFD1,0)):INDEX(hiddenPage!XEW1048572:XEW1,MATCH(hiddenPage!B1048572,hiddenPage!XFD1048572:XFD1,0))</definedName>
    <definedName name="Data">IF(hiddenPage!$J$25=4,Selection3,IF(hiddenPage!$J$25=5,Selection2,Selection1))</definedName>
    <definedName name="List1">hiddenPage!$L$3:$L$14</definedName>
    <definedName name="List2">hiddenPage!$N$3:$N$6</definedName>
    <definedName name="List3">hiddenPage!$X$3:$X$7</definedName>
    <definedName name="list9">hiddenPage!$A$67:$A$70</definedName>
    <definedName name="Selection1">hiddenPage!$A$25:$G$30</definedName>
    <definedName name="Selection2">hiddenPage!$A$25:$G$29</definedName>
    <definedName name="Selection3">hiddenPage!$A$25:$G$28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0" l="1"/>
  <c r="J10" i="7"/>
  <c r="I10" i="7"/>
  <c r="I12" i="7" s="1"/>
  <c r="J11" i="7" s="1"/>
  <c r="H10" i="7"/>
  <c r="H12" i="7" s="1"/>
  <c r="G10" i="7"/>
  <c r="G12" i="7" s="1"/>
  <c r="F10" i="7"/>
  <c r="F12" i="7" s="1"/>
  <c r="E10" i="7"/>
  <c r="E12" i="7" s="1"/>
  <c r="D10" i="7"/>
  <c r="D12" i="7" s="1"/>
  <c r="F3" i="7"/>
  <c r="G3" i="7"/>
  <c r="H3" i="7" s="1"/>
  <c r="I3" i="7" s="1"/>
  <c r="J3" i="7" s="1"/>
  <c r="E3" i="7"/>
  <c r="J12" i="7" l="1"/>
  <c r="I12" i="2" l="1"/>
  <c r="I17" i="2" s="1"/>
  <c r="I19" i="2" s="1"/>
  <c r="I22" i="2" s="1"/>
  <c r="H12" i="2"/>
  <c r="H17" i="2" s="1"/>
  <c r="H19" i="2" s="1"/>
  <c r="H22" i="2" s="1"/>
  <c r="G12" i="2"/>
  <c r="G17" i="2" s="1"/>
  <c r="G19" i="2" s="1"/>
  <c r="G22" i="2" s="1"/>
  <c r="F12" i="2"/>
  <c r="F17" i="2" s="1"/>
  <c r="F19" i="2" s="1"/>
  <c r="F22" i="2" s="1"/>
  <c r="E12" i="2"/>
  <c r="E17" i="2" s="1"/>
  <c r="E19" i="2" s="1"/>
  <c r="E22" i="2" s="1"/>
  <c r="D12" i="2"/>
  <c r="D17" i="2" s="1"/>
  <c r="D19" i="2" s="1"/>
  <c r="D22" i="2" s="1"/>
  <c r="C12" i="2"/>
  <c r="C17" i="2" s="1"/>
  <c r="C19" i="2" s="1"/>
  <c r="C22" i="2" s="1"/>
  <c r="B32" i="1"/>
  <c r="B33" i="1" s="1"/>
  <c r="H31" i="1"/>
  <c r="H32" i="1" s="1"/>
  <c r="H33" i="1" s="1"/>
  <c r="G31" i="1"/>
  <c r="G32" i="1" s="1"/>
  <c r="G33" i="1" s="1"/>
  <c r="F31" i="1"/>
  <c r="D31" i="1"/>
  <c r="C31" i="1"/>
  <c r="B31" i="1"/>
  <c r="E30" i="1"/>
  <c r="E29" i="1"/>
  <c r="E31" i="1" s="1"/>
  <c r="E32" i="1" s="1"/>
  <c r="E33" i="1" s="1"/>
  <c r="H27" i="1"/>
  <c r="G27" i="1"/>
  <c r="F27" i="1"/>
  <c r="F32" i="1" s="1"/>
  <c r="F33" i="1" s="1"/>
  <c r="E27" i="1"/>
  <c r="D27" i="1"/>
  <c r="D32" i="1" s="1"/>
  <c r="D33" i="1" s="1"/>
  <c r="C27" i="1"/>
  <c r="C32" i="1" s="1"/>
  <c r="C33" i="1" s="1"/>
  <c r="B27" i="1"/>
  <c r="H22" i="1"/>
  <c r="G22" i="1"/>
  <c r="F22" i="1"/>
  <c r="E22" i="1"/>
  <c r="D22" i="1"/>
  <c r="C22" i="1"/>
  <c r="B22" i="1"/>
  <c r="D17" i="1"/>
  <c r="C17" i="1"/>
  <c r="B17" i="1"/>
  <c r="H16" i="1"/>
  <c r="H17" i="1" s="1"/>
  <c r="G16" i="1"/>
  <c r="G17" i="1" s="1"/>
  <c r="F16" i="1"/>
  <c r="F17" i="1" s="1"/>
  <c r="E16" i="1"/>
  <c r="E17" i="1" s="1"/>
  <c r="D16" i="1"/>
  <c r="C16" i="1"/>
  <c r="B16" i="1"/>
  <c r="H8" i="1"/>
  <c r="G8" i="1"/>
  <c r="F8" i="1"/>
  <c r="E8" i="1"/>
  <c r="D8" i="1"/>
  <c r="C8" i="1"/>
  <c r="B8" i="1"/>
  <c r="E13" i="7" l="1"/>
  <c r="F13" i="7"/>
  <c r="G13" i="7"/>
  <c r="H13" i="7"/>
  <c r="I13" i="7"/>
  <c r="J13" i="7"/>
  <c r="D13" i="7"/>
  <c r="H62" i="2"/>
  <c r="H63" i="2" s="1"/>
  <c r="G62" i="2"/>
  <c r="G63" i="2" s="1"/>
  <c r="F62" i="2"/>
  <c r="F63" i="2" s="1"/>
  <c r="E62" i="2"/>
  <c r="E63" i="2" s="1"/>
  <c r="D62" i="2"/>
  <c r="D63" i="2" s="1"/>
  <c r="C62" i="2"/>
  <c r="C63" i="2" s="1"/>
  <c r="H48" i="2"/>
  <c r="H49" i="2" s="1"/>
  <c r="G48" i="2"/>
  <c r="G49" i="2" s="1"/>
  <c r="F48" i="2"/>
  <c r="F49" i="2" s="1"/>
  <c r="E48" i="2"/>
  <c r="E49" i="2" s="1"/>
  <c r="D48" i="2"/>
  <c r="D49" i="2" s="1"/>
  <c r="C48" i="2"/>
  <c r="C49" i="2" s="1"/>
  <c r="H41" i="2"/>
  <c r="G41" i="2"/>
  <c r="F41" i="2"/>
  <c r="E41" i="2"/>
  <c r="D41" i="2"/>
  <c r="C41" i="2"/>
  <c r="C42" i="2" s="1"/>
  <c r="H32" i="2"/>
  <c r="H33" i="2" s="1"/>
  <c r="G32" i="2"/>
  <c r="G33" i="2" s="1"/>
  <c r="F32" i="2"/>
  <c r="F33" i="2" s="1"/>
  <c r="E32" i="2"/>
  <c r="E33" i="2" s="1"/>
  <c r="D32" i="2"/>
  <c r="D33" i="2" s="1"/>
  <c r="C32" i="2"/>
  <c r="C33" i="2" s="1"/>
  <c r="C36" i="2"/>
  <c r="C45" i="2" s="1"/>
  <c r="C53" i="2" s="1"/>
  <c r="C3" i="1"/>
  <c r="D3" i="1" s="1"/>
  <c r="E3" i="1" s="1"/>
  <c r="F3" i="1" s="1"/>
  <c r="G3" i="1" s="1"/>
  <c r="E42" i="2" l="1"/>
  <c r="F42" i="2"/>
  <c r="D42" i="2"/>
  <c r="G42" i="2"/>
  <c r="H42" i="2"/>
  <c r="D3" i="2"/>
  <c r="C26" i="2"/>
  <c r="D26" i="2" l="1"/>
  <c r="E3" i="2"/>
  <c r="D36" i="2"/>
  <c r="D45" i="2" s="1"/>
  <c r="D53" i="2" s="1"/>
  <c r="L55" i="2"/>
  <c r="K55" i="2"/>
  <c r="J55" i="2"/>
  <c r="F3" i="2" l="1"/>
  <c r="E36" i="2"/>
  <c r="E45" i="2" s="1"/>
  <c r="E53" i="2" s="1"/>
  <c r="E26" i="2"/>
  <c r="H3" i="1"/>
  <c r="G3" i="2" l="1"/>
  <c r="F36" i="2"/>
  <c r="F45" i="2" s="1"/>
  <c r="F53" i="2" s="1"/>
  <c r="F26" i="2"/>
  <c r="H10" i="8"/>
  <c r="C10" i="8"/>
  <c r="D10" i="8"/>
  <c r="E10" i="8"/>
  <c r="F10" i="8"/>
  <c r="G10" i="8"/>
  <c r="B10" i="8"/>
  <c r="J11" i="8"/>
  <c r="I11" i="8"/>
  <c r="I32" i="2"/>
  <c r="B35" i="1"/>
  <c r="C35" i="1"/>
  <c r="D35" i="1"/>
  <c r="E35" i="1"/>
  <c r="F35" i="1"/>
  <c r="G35" i="1"/>
  <c r="H3" i="2" l="1"/>
  <c r="G36" i="2"/>
  <c r="G45" i="2" s="1"/>
  <c r="G53" i="2" s="1"/>
  <c r="G26" i="2"/>
  <c r="I10" i="8"/>
  <c r="J10" i="8"/>
  <c r="D8" i="8"/>
  <c r="E8" i="8"/>
  <c r="L14" i="2"/>
  <c r="K14" i="2"/>
  <c r="J14" i="2"/>
  <c r="H36" i="2" l="1"/>
  <c r="H45" i="2" s="1"/>
  <c r="H53" i="2" s="1"/>
  <c r="H26" i="2"/>
  <c r="I3" i="2"/>
  <c r="H35" i="1"/>
  <c r="F8" i="8"/>
  <c r="G8" i="8"/>
  <c r="B8" i="8"/>
  <c r="C8" i="8"/>
  <c r="H8" i="8" l="1"/>
  <c r="J11" i="3"/>
  <c r="I11" i="3"/>
  <c r="K11" i="3"/>
  <c r="F6" i="3"/>
  <c r="F15" i="3" s="1"/>
  <c r="G6" i="3"/>
  <c r="G15" i="3" s="1"/>
  <c r="H6" i="3"/>
  <c r="H15" i="3" s="1"/>
  <c r="I6" i="3"/>
  <c r="I15" i="3" s="1"/>
  <c r="J6" i="3"/>
  <c r="J15" i="3" s="1"/>
  <c r="E6" i="3"/>
  <c r="E16" i="3" l="1"/>
  <c r="E15" i="3"/>
  <c r="K8" i="8"/>
  <c r="J8" i="8"/>
  <c r="I8" i="8"/>
  <c r="L29" i="1"/>
  <c r="L5" i="2" l="1"/>
  <c r="L6" i="2"/>
  <c r="L7" i="2"/>
  <c r="L8" i="2"/>
  <c r="L9" i="2"/>
  <c r="L10" i="2"/>
  <c r="L11" i="2"/>
  <c r="L13" i="2"/>
  <c r="L18" i="2"/>
  <c r="L21" i="2"/>
  <c r="J13" i="2"/>
  <c r="J16" i="2"/>
  <c r="J18" i="2"/>
  <c r="J20" i="2"/>
  <c r="J21" i="2"/>
  <c r="I62" i="2"/>
  <c r="I63" i="2" s="1"/>
  <c r="K61" i="2"/>
  <c r="J61" i="2"/>
  <c r="K60" i="2"/>
  <c r="J60" i="2"/>
  <c r="K59" i="2"/>
  <c r="J59" i="2"/>
  <c r="K58" i="2"/>
  <c r="J58" i="2"/>
  <c r="K57" i="2"/>
  <c r="J57" i="2"/>
  <c r="K56" i="2"/>
  <c r="J56" i="2"/>
  <c r="L54" i="2"/>
  <c r="K54" i="2"/>
  <c r="J54" i="2"/>
  <c r="L62" i="2" l="1"/>
  <c r="L12" i="2"/>
  <c r="L22" i="2"/>
  <c r="J62" i="2"/>
  <c r="J12" i="2"/>
  <c r="K62" i="2"/>
  <c r="L19" i="2" l="1"/>
  <c r="L17" i="2"/>
  <c r="B4" i="8" l="1"/>
  <c r="C4" i="8"/>
  <c r="D4" i="8"/>
  <c r="E4" i="8"/>
  <c r="F4" i="8"/>
  <c r="G4" i="8"/>
  <c r="H4" i="8"/>
  <c r="C4" i="5"/>
  <c r="D4" i="5"/>
  <c r="E4" i="5"/>
  <c r="F4" i="5"/>
  <c r="G4" i="5"/>
  <c r="J4" i="8" l="1"/>
  <c r="N21" i="8"/>
  <c r="I4" i="8"/>
  <c r="K4" i="8"/>
  <c r="F3" i="3"/>
  <c r="G3" i="3" s="1"/>
  <c r="H3" i="3" s="1"/>
  <c r="I3" i="3" s="1"/>
  <c r="J3" i="3" s="1"/>
  <c r="K3" i="3" s="1"/>
  <c r="H4" i="5"/>
  <c r="D2" i="5"/>
  <c r="E2" i="5" s="1"/>
  <c r="F2" i="5" s="1"/>
  <c r="G2" i="5" s="1"/>
  <c r="H2" i="5" s="1"/>
  <c r="I2" i="5" s="1"/>
  <c r="C66" i="10"/>
  <c r="D66" i="10" s="1"/>
  <c r="E66" i="10" s="1"/>
  <c r="F66" i="10" s="1"/>
  <c r="G66" i="10" s="1"/>
  <c r="H66" i="10" s="1"/>
  <c r="I26" i="2"/>
  <c r="G3" i="5"/>
  <c r="G6" i="5" s="1"/>
  <c r="E3" i="5" l="1"/>
  <c r="E6" i="5" s="1"/>
  <c r="E9" i="5" s="1"/>
  <c r="G5" i="3" s="1"/>
  <c r="D3" i="5"/>
  <c r="D6" i="5" s="1"/>
  <c r="F4" i="3" s="1"/>
  <c r="C3" i="5"/>
  <c r="C6" i="5" s="1"/>
  <c r="C9" i="5" s="1"/>
  <c r="E5" i="3" s="1"/>
  <c r="F3" i="5"/>
  <c r="F6" i="5" s="1"/>
  <c r="F9" i="5" s="1"/>
  <c r="H5" i="3" s="1"/>
  <c r="H3" i="5"/>
  <c r="H6" i="5" s="1"/>
  <c r="G9" i="5"/>
  <c r="I5" i="3" s="1"/>
  <c r="I4" i="3"/>
  <c r="D9" i="5" l="1"/>
  <c r="F5" i="3" s="1"/>
  <c r="G4" i="3"/>
  <c r="H4" i="3"/>
  <c r="E4" i="3"/>
  <c r="H9" i="5"/>
  <c r="J5" i="3" s="1"/>
  <c r="J4" i="3"/>
  <c r="F11" i="3"/>
  <c r="E11" i="3"/>
  <c r="A90" i="10"/>
  <c r="G11" i="3" l="1"/>
  <c r="H11" i="3"/>
  <c r="J17" i="2" l="1"/>
  <c r="I4" i="5"/>
  <c r="I7" i="8" l="1"/>
  <c r="B70" i="10" l="1"/>
  <c r="B69" i="10"/>
  <c r="B68" i="10"/>
  <c r="B67" i="10"/>
  <c r="A63" i="10"/>
  <c r="I68" i="10"/>
  <c r="I69" i="10"/>
  <c r="I70" i="10"/>
  <c r="I67" i="10"/>
  <c r="H75" i="10"/>
  <c r="G75" i="10"/>
  <c r="F75" i="10"/>
  <c r="E75" i="10"/>
  <c r="D75" i="10"/>
  <c r="C75" i="10"/>
  <c r="B75" i="10"/>
  <c r="N38" i="2" l="1"/>
  <c r="B76" i="10"/>
  <c r="E17" i="3"/>
  <c r="N40" i="2" l="1"/>
  <c r="N39" i="2"/>
  <c r="N37" i="2"/>
  <c r="H18" i="8"/>
  <c r="G18" i="8"/>
  <c r="F18" i="8"/>
  <c r="E18" i="8"/>
  <c r="D18" i="8"/>
  <c r="C18" i="8"/>
  <c r="B18" i="8"/>
  <c r="K18" i="8" l="1"/>
  <c r="N41" i="2"/>
  <c r="I18" i="8"/>
  <c r="K7" i="8"/>
  <c r="J7" i="8"/>
  <c r="C3" i="8"/>
  <c r="D3" i="8" s="1"/>
  <c r="E3" i="8" s="1"/>
  <c r="F3" i="8" s="1"/>
  <c r="G3" i="8" s="1"/>
  <c r="H3" i="8" s="1"/>
  <c r="A44" i="10"/>
  <c r="A45" i="10" s="1"/>
  <c r="A46" i="10" s="1"/>
  <c r="A47" i="10" s="1"/>
  <c r="A48" i="10" s="1"/>
  <c r="B9" i="10"/>
  <c r="B82" i="10" s="1"/>
  <c r="C3" i="10"/>
  <c r="C9" i="10" s="1"/>
  <c r="I36" i="2"/>
  <c r="I45" i="2" s="1"/>
  <c r="I53" i="2" s="1"/>
  <c r="O26" i="2"/>
  <c r="P26" i="2"/>
  <c r="Q26" i="2"/>
  <c r="R26" i="2"/>
  <c r="S26" i="2"/>
  <c r="N26" i="2"/>
  <c r="T26" i="2"/>
  <c r="L10" i="1"/>
  <c r="L11" i="1"/>
  <c r="L12" i="1"/>
  <c r="L14" i="1"/>
  <c r="L15" i="1"/>
  <c r="L9" i="1"/>
  <c r="I4" i="1"/>
  <c r="O36" i="2" l="1"/>
  <c r="N36" i="2"/>
  <c r="S36" i="2"/>
  <c r="J53" i="2"/>
  <c r="T36" i="2"/>
  <c r="P36" i="2"/>
  <c r="Q36" i="2"/>
  <c r="R36" i="2"/>
  <c r="J19" i="2"/>
  <c r="D3" i="10"/>
  <c r="E3" i="10" s="1"/>
  <c r="F3" i="10" s="1"/>
  <c r="G3" i="10" s="1"/>
  <c r="H3" i="10" s="1"/>
  <c r="H9" i="10" s="1"/>
  <c r="H15" i="10" s="1"/>
  <c r="H24" i="10" s="1"/>
  <c r="H53" i="10" s="1"/>
  <c r="C82" i="10"/>
  <c r="C15" i="10"/>
  <c r="C24" i="10" s="1"/>
  <c r="C53" i="10" s="1"/>
  <c r="B15" i="10"/>
  <c r="B24" i="10" s="1"/>
  <c r="B53" i="10" s="1"/>
  <c r="H67" i="10"/>
  <c r="I41" i="2"/>
  <c r="T40" i="2" s="1"/>
  <c r="H69" i="10"/>
  <c r="H70" i="10"/>
  <c r="H68" i="10"/>
  <c r="C70" i="10"/>
  <c r="D67" i="10"/>
  <c r="E67" i="10"/>
  <c r="F67" i="10"/>
  <c r="D70" i="10"/>
  <c r="E70" i="10"/>
  <c r="G68" i="10"/>
  <c r="C69" i="10"/>
  <c r="D69" i="10"/>
  <c r="F70" i="10"/>
  <c r="J38" i="2"/>
  <c r="C68" i="10"/>
  <c r="E69" i="10"/>
  <c r="G70" i="10"/>
  <c r="F68" i="10"/>
  <c r="G67" i="10"/>
  <c r="K38" i="2"/>
  <c r="D68" i="10"/>
  <c r="F69" i="10"/>
  <c r="L40" i="2"/>
  <c r="L38" i="2"/>
  <c r="C67" i="10"/>
  <c r="E68" i="10"/>
  <c r="L39" i="2"/>
  <c r="G69" i="10"/>
  <c r="I3" i="5"/>
  <c r="J18" i="8"/>
  <c r="J40" i="2"/>
  <c r="K40" i="2"/>
  <c r="J39" i="2"/>
  <c r="K39" i="2"/>
  <c r="J36" i="2"/>
  <c r="J37" i="2"/>
  <c r="K37" i="2"/>
  <c r="L37" i="2"/>
  <c r="L28" i="2"/>
  <c r="L4" i="1"/>
  <c r="H82" i="10" l="1"/>
  <c r="D9" i="10"/>
  <c r="E9" i="10"/>
  <c r="E82" i="10" s="1"/>
  <c r="F9" i="10"/>
  <c r="G9" i="10"/>
  <c r="G82" i="10" s="1"/>
  <c r="C76" i="10"/>
  <c r="C78" i="10" s="1"/>
  <c r="T39" i="2"/>
  <c r="P38" i="2"/>
  <c r="O37" i="2"/>
  <c r="J41" i="2"/>
  <c r="R40" i="2"/>
  <c r="P40" i="2"/>
  <c r="Q40" i="2"/>
  <c r="S39" i="2"/>
  <c r="P39" i="2"/>
  <c r="Q38" i="2"/>
  <c r="Q37" i="2"/>
  <c r="R38" i="2"/>
  <c r="R37" i="2"/>
  <c r="L41" i="2"/>
  <c r="R39" i="2"/>
  <c r="T38" i="2"/>
  <c r="J22" i="2"/>
  <c r="F82" i="10"/>
  <c r="F15" i="10"/>
  <c r="F24" i="10" s="1"/>
  <c r="F53" i="10" s="1"/>
  <c r="D82" i="10"/>
  <c r="D15" i="10"/>
  <c r="D24" i="10" s="1"/>
  <c r="D53" i="10" s="1"/>
  <c r="H76" i="10"/>
  <c r="H77" i="10" s="1"/>
  <c r="T37" i="2"/>
  <c r="S40" i="2"/>
  <c r="S38" i="2"/>
  <c r="S37" i="2"/>
  <c r="E76" i="10"/>
  <c r="D76" i="10"/>
  <c r="Q39" i="2"/>
  <c r="P37" i="2"/>
  <c r="K41" i="2"/>
  <c r="O39" i="2"/>
  <c r="O40" i="2"/>
  <c r="G76" i="10"/>
  <c r="O38" i="2"/>
  <c r="F76" i="10"/>
  <c r="J47" i="2"/>
  <c r="J46" i="2"/>
  <c r="J31" i="2"/>
  <c r="J30" i="2"/>
  <c r="J29" i="2"/>
  <c r="J28" i="2"/>
  <c r="J11" i="2"/>
  <c r="J10" i="2"/>
  <c r="J9" i="2"/>
  <c r="J8" i="2"/>
  <c r="J7" i="2"/>
  <c r="J6" i="2"/>
  <c r="J5" i="2"/>
  <c r="J4" i="2"/>
  <c r="J3" i="2"/>
  <c r="J26" i="2"/>
  <c r="J45" i="2"/>
  <c r="G15" i="10" l="1"/>
  <c r="G24" i="10" s="1"/>
  <c r="G53" i="10" s="1"/>
  <c r="E15" i="10"/>
  <c r="E24" i="10" s="1"/>
  <c r="E53" i="10" s="1"/>
  <c r="D78" i="10"/>
  <c r="R41" i="2"/>
  <c r="F78" i="10"/>
  <c r="O41" i="2"/>
  <c r="S41" i="2"/>
  <c r="Q41" i="2"/>
  <c r="P41" i="2"/>
  <c r="T41" i="2"/>
  <c r="G78" i="10"/>
  <c r="H78" i="10"/>
  <c r="E78" i="10"/>
  <c r="AD24" i="10"/>
  <c r="AD25" i="10"/>
  <c r="AD30" i="10"/>
  <c r="AD34" i="10"/>
  <c r="AD35" i="10"/>
  <c r="AD36" i="10"/>
  <c r="AD15" i="10"/>
  <c r="AD16" i="10"/>
  <c r="AD17" i="10"/>
  <c r="AD18" i="10"/>
  <c r="AD19" i="10"/>
  <c r="AD20" i="10"/>
  <c r="AD21" i="10"/>
  <c r="AD22" i="10"/>
  <c r="AD23" i="10"/>
  <c r="AD13" i="10"/>
  <c r="C14" i="10" l="1"/>
  <c r="D14" i="10"/>
  <c r="E14" i="10"/>
  <c r="F14" i="10"/>
  <c r="G14" i="10"/>
  <c r="H14" i="10"/>
  <c r="B14" i="10"/>
  <c r="A13" i="10"/>
  <c r="Q66" i="10" l="1"/>
  <c r="L55" i="10"/>
  <c r="L56" i="10" s="1"/>
  <c r="L57" i="10" s="1"/>
  <c r="L58" i="10" s="1"/>
  <c r="L59" i="10" s="1"/>
  <c r="L60" i="10" s="1"/>
  <c r="B52" i="10"/>
  <c r="D52" i="10" l="1"/>
  <c r="C52" i="10"/>
  <c r="H8" i="10"/>
  <c r="H5" i="8"/>
  <c r="K6" i="3"/>
  <c r="I6" i="5"/>
  <c r="I48" i="2"/>
  <c r="I49" i="2" s="1"/>
  <c r="L47" i="2"/>
  <c r="K47" i="2"/>
  <c r="L46" i="2"/>
  <c r="K46" i="2"/>
  <c r="L31" i="2"/>
  <c r="K31" i="2"/>
  <c r="L30" i="2"/>
  <c r="K30" i="2"/>
  <c r="L29" i="2"/>
  <c r="K29" i="2"/>
  <c r="K28" i="2"/>
  <c r="K21" i="2"/>
  <c r="K20" i="2"/>
  <c r="K18" i="2"/>
  <c r="K16" i="2"/>
  <c r="K13" i="2"/>
  <c r="K11" i="2"/>
  <c r="K10" i="2"/>
  <c r="K9" i="2"/>
  <c r="K8" i="2"/>
  <c r="K7" i="2"/>
  <c r="K6" i="2"/>
  <c r="K5" i="2"/>
  <c r="L4" i="2"/>
  <c r="K4" i="2"/>
  <c r="L30" i="1"/>
  <c r="K30" i="1"/>
  <c r="J30" i="1"/>
  <c r="K29" i="1"/>
  <c r="J29" i="1"/>
  <c r="L28" i="1"/>
  <c r="K28" i="1"/>
  <c r="J28" i="1"/>
  <c r="L26" i="1"/>
  <c r="K26" i="1"/>
  <c r="J26" i="1"/>
  <c r="L25" i="1"/>
  <c r="K25" i="1"/>
  <c r="J25" i="1"/>
  <c r="K24" i="1"/>
  <c r="J24" i="1"/>
  <c r="L23" i="1"/>
  <c r="K23" i="1"/>
  <c r="J23" i="1"/>
  <c r="L21" i="1"/>
  <c r="K21" i="1"/>
  <c r="J21" i="1"/>
  <c r="L20" i="1"/>
  <c r="K20" i="1"/>
  <c r="J20" i="1"/>
  <c r="L19" i="1"/>
  <c r="K19" i="1"/>
  <c r="J19" i="1"/>
  <c r="L18" i="1"/>
  <c r="K18" i="1"/>
  <c r="J18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L7" i="1"/>
  <c r="K7" i="1"/>
  <c r="J7" i="1"/>
  <c r="L6" i="1"/>
  <c r="K6" i="1"/>
  <c r="J6" i="1"/>
  <c r="L5" i="1"/>
  <c r="K5" i="1"/>
  <c r="J5" i="1"/>
  <c r="K4" i="1"/>
  <c r="J4" i="1"/>
  <c r="J3" i="1"/>
  <c r="I3" i="8"/>
  <c r="I9" i="5" l="1"/>
  <c r="H6" i="8" s="1"/>
  <c r="I42" i="2"/>
  <c r="K16" i="3"/>
  <c r="K15" i="3"/>
  <c r="K12" i="2"/>
  <c r="K14" i="3"/>
  <c r="T28" i="2"/>
  <c r="I33" i="2"/>
  <c r="H13" i="8"/>
  <c r="T29" i="2"/>
  <c r="K4" i="3"/>
  <c r="T27" i="2"/>
  <c r="T30" i="2"/>
  <c r="I31" i="1"/>
  <c r="T31" i="2"/>
  <c r="K12" i="3"/>
  <c r="I27" i="1"/>
  <c r="K9" i="3"/>
  <c r="I22" i="1"/>
  <c r="K10" i="3"/>
  <c r="H14" i="8"/>
  <c r="I16" i="1"/>
  <c r="E52" i="10"/>
  <c r="H15" i="8"/>
  <c r="I8" i="1"/>
  <c r="A32" i="10"/>
  <c r="A34" i="10"/>
  <c r="A35" i="10" s="1"/>
  <c r="A36" i="10" s="1"/>
  <c r="A37" i="10" s="1"/>
  <c r="A38" i="10" s="1"/>
  <c r="A39" i="10" s="1"/>
  <c r="K5" i="3" l="1"/>
  <c r="K7" i="3" s="1"/>
  <c r="K8" i="3"/>
  <c r="T32" i="2"/>
  <c r="H16" i="8"/>
  <c r="I32" i="1"/>
  <c r="F52" i="10"/>
  <c r="H9" i="8"/>
  <c r="H12" i="8" s="1"/>
  <c r="K18" i="3"/>
  <c r="K17" i="3"/>
  <c r="I29" i="1"/>
  <c r="I14" i="1"/>
  <c r="I6" i="1"/>
  <c r="I20" i="1"/>
  <c r="I12" i="1"/>
  <c r="I23" i="1"/>
  <c r="I7" i="1"/>
  <c r="I28" i="1"/>
  <c r="I21" i="1"/>
  <c r="I13" i="1"/>
  <c r="I5" i="1"/>
  <c r="I17" i="1"/>
  <c r="I9" i="1"/>
  <c r="I24" i="1"/>
  <c r="I15" i="1"/>
  <c r="I19" i="1"/>
  <c r="I11" i="1"/>
  <c r="I26" i="1"/>
  <c r="I18" i="1"/>
  <c r="I10" i="1"/>
  <c r="I25" i="1"/>
  <c r="I30" i="1"/>
  <c r="K19" i="3"/>
  <c r="B39" i="10"/>
  <c r="H17" i="8" l="1"/>
  <c r="K13" i="3"/>
  <c r="I33" i="1"/>
  <c r="H52" i="10"/>
  <c r="G52" i="10"/>
  <c r="AD4" i="10"/>
  <c r="AD5" i="10"/>
  <c r="AD6" i="10"/>
  <c r="AD3" i="10"/>
  <c r="I57" i="10" l="1"/>
  <c r="I55" i="10"/>
  <c r="I60" i="10"/>
  <c r="I59" i="10"/>
  <c r="I56" i="10"/>
  <c r="I58" i="10"/>
  <c r="I54" i="10"/>
  <c r="AA4" i="10"/>
  <c r="AA5" i="10" s="1"/>
  <c r="AA6" i="10" s="1"/>
  <c r="AA7" i="10" s="1"/>
  <c r="I9" i="10"/>
  <c r="C8" i="10"/>
  <c r="D8" i="10"/>
  <c r="E8" i="10"/>
  <c r="F8" i="10"/>
  <c r="G8" i="10"/>
  <c r="B8" i="10"/>
  <c r="A8" i="10"/>
  <c r="A5" i="10"/>
  <c r="H5" i="10" s="1"/>
  <c r="A4" i="10"/>
  <c r="H4" i="10" s="1"/>
  <c r="B4" i="10" l="1"/>
  <c r="J58" i="10"/>
  <c r="J59" i="10"/>
  <c r="J56" i="10"/>
  <c r="J60" i="10"/>
  <c r="J55" i="10"/>
  <c r="J54" i="10"/>
  <c r="J57" i="10"/>
  <c r="AA8" i="10"/>
  <c r="AD7" i="10"/>
  <c r="S3" i="10"/>
  <c r="S5" i="10"/>
  <c r="S9" i="10"/>
  <c r="S8" i="10"/>
  <c r="S6" i="10"/>
  <c r="S10" i="10"/>
  <c r="S7" i="10"/>
  <c r="D7" i="10"/>
  <c r="S4" i="10"/>
  <c r="A1" i="10"/>
  <c r="C5" i="8"/>
  <c r="D5" i="8"/>
  <c r="E5" i="8"/>
  <c r="F5" i="8"/>
  <c r="G5" i="8"/>
  <c r="B5" i="8"/>
  <c r="K5" i="8" l="1"/>
  <c r="I5" i="8"/>
  <c r="N60" i="10"/>
  <c r="Q60" i="10" s="1"/>
  <c r="N59" i="10"/>
  <c r="Q59" i="10" s="1"/>
  <c r="N57" i="10"/>
  <c r="Q57" i="10" s="1"/>
  <c r="N54" i="10"/>
  <c r="Q54" i="10" s="1"/>
  <c r="N58" i="10"/>
  <c r="Q58" i="10" s="1"/>
  <c r="N55" i="10"/>
  <c r="Q55" i="10" s="1"/>
  <c r="N56" i="10"/>
  <c r="Q56" i="10" s="1"/>
  <c r="J5" i="8"/>
  <c r="AA9" i="10"/>
  <c r="AD8" i="10"/>
  <c r="T4" i="10"/>
  <c r="U4" i="10" s="1"/>
  <c r="A11" i="10" s="1"/>
  <c r="T8" i="10"/>
  <c r="U8" i="10" s="1"/>
  <c r="T10" i="10"/>
  <c r="U10" i="10" s="1"/>
  <c r="T7" i="10"/>
  <c r="U7" i="10" s="1"/>
  <c r="T5" i="10"/>
  <c r="U5" i="10" s="1"/>
  <c r="T9" i="10"/>
  <c r="U9" i="10" s="1"/>
  <c r="T6" i="10"/>
  <c r="U6" i="10" s="1"/>
  <c r="T3" i="10"/>
  <c r="U3" i="10" s="1"/>
  <c r="A10" i="10" s="1"/>
  <c r="H11" i="10" l="1"/>
  <c r="A84" i="10"/>
  <c r="Q61" i="10"/>
  <c r="AA10" i="10"/>
  <c r="AD9" i="10"/>
  <c r="A83" i="10"/>
  <c r="J16" i="3"/>
  <c r="H10" i="10" l="1"/>
  <c r="B10" i="10"/>
  <c r="R54" i="10"/>
  <c r="Q64" i="10"/>
  <c r="R58" i="10"/>
  <c r="R55" i="10"/>
  <c r="R56" i="10"/>
  <c r="R60" i="10"/>
  <c r="R57" i="10"/>
  <c r="J14" i="3"/>
  <c r="K27" i="2"/>
  <c r="J27" i="2"/>
  <c r="L27" i="2"/>
  <c r="K17" i="2"/>
  <c r="S30" i="2"/>
  <c r="J32" i="2"/>
  <c r="L32" i="2"/>
  <c r="K32" i="2"/>
  <c r="R59" i="10"/>
  <c r="L48" i="2"/>
  <c r="J48" i="2"/>
  <c r="K48" i="2"/>
  <c r="G11" i="10"/>
  <c r="J31" i="1"/>
  <c r="L31" i="1"/>
  <c r="K31" i="1"/>
  <c r="L8" i="1"/>
  <c r="J8" i="1"/>
  <c r="K8" i="1"/>
  <c r="L16" i="1"/>
  <c r="K16" i="1"/>
  <c r="J16" i="1"/>
  <c r="J22" i="1"/>
  <c r="L22" i="1"/>
  <c r="K22" i="1"/>
  <c r="K27" i="1"/>
  <c r="L27" i="1"/>
  <c r="J27" i="1"/>
  <c r="G15" i="8"/>
  <c r="K15" i="8" s="1"/>
  <c r="B38" i="10"/>
  <c r="G48" i="10" s="1"/>
  <c r="G4" i="10"/>
  <c r="AA11" i="10"/>
  <c r="AD10" i="10"/>
  <c r="A7" i="10"/>
  <c r="G9" i="8"/>
  <c r="G12" i="8" s="1"/>
  <c r="G5" i="10"/>
  <c r="G13" i="8"/>
  <c r="K13" i="8" s="1"/>
  <c r="G14" i="8"/>
  <c r="K14" i="8" s="1"/>
  <c r="S28" i="2"/>
  <c r="J7" i="3"/>
  <c r="G6" i="8"/>
  <c r="J12" i="3"/>
  <c r="J10" i="3"/>
  <c r="J17" i="3"/>
  <c r="S27" i="2"/>
  <c r="S29" i="2"/>
  <c r="S31" i="2"/>
  <c r="J19" i="3"/>
  <c r="J9" i="3"/>
  <c r="J18" i="3"/>
  <c r="K12" i="8" l="1"/>
  <c r="I12" i="8"/>
  <c r="J12" i="8"/>
  <c r="K9" i="8"/>
  <c r="I9" i="8"/>
  <c r="H86" i="10"/>
  <c r="H84" i="10" s="1"/>
  <c r="I13" i="8"/>
  <c r="I14" i="8"/>
  <c r="I15" i="8"/>
  <c r="K6" i="8"/>
  <c r="I6" i="8"/>
  <c r="K22" i="2"/>
  <c r="K19" i="2"/>
  <c r="J17" i="1"/>
  <c r="L17" i="1"/>
  <c r="K17" i="1"/>
  <c r="L32" i="1"/>
  <c r="K32" i="1"/>
  <c r="J32" i="1"/>
  <c r="G10" i="10"/>
  <c r="D48" i="10"/>
  <c r="E48" i="10"/>
  <c r="J6" i="8"/>
  <c r="J9" i="8"/>
  <c r="J14" i="8"/>
  <c r="J13" i="8"/>
  <c r="J15" i="8"/>
  <c r="AA12" i="10"/>
  <c r="AD11" i="10"/>
  <c r="J8" i="3"/>
  <c r="G16" i="8"/>
  <c r="K16" i="8" s="1"/>
  <c r="S32" i="2"/>
  <c r="I16" i="3"/>
  <c r="H16" i="3"/>
  <c r="F16" i="3"/>
  <c r="F14" i="3"/>
  <c r="E6" i="8"/>
  <c r="D6" i="8"/>
  <c r="H83" i="10" l="1"/>
  <c r="G17" i="8"/>
  <c r="K17" i="8" s="1"/>
  <c r="I16" i="8"/>
  <c r="G86" i="10"/>
  <c r="G84" i="10" s="1"/>
  <c r="L33" i="1"/>
  <c r="K33" i="1"/>
  <c r="J33" i="1"/>
  <c r="J16" i="8"/>
  <c r="AA13" i="10"/>
  <c r="AD12" i="10"/>
  <c r="J13" i="3"/>
  <c r="H7" i="3"/>
  <c r="B6" i="8"/>
  <c r="G14" i="3"/>
  <c r="H14" i="3"/>
  <c r="E14" i="3"/>
  <c r="G7" i="3"/>
  <c r="G16" i="3"/>
  <c r="P29" i="2"/>
  <c r="O30" i="2"/>
  <c r="N27" i="2"/>
  <c r="E7" i="3" l="1"/>
  <c r="G83" i="10"/>
  <c r="I17" i="8"/>
  <c r="J17" i="8"/>
  <c r="AA15" i="10"/>
  <c r="AA24" i="10" s="1"/>
  <c r="AA25" i="10" s="1"/>
  <c r="AA26" i="10" s="1"/>
  <c r="AA14" i="10"/>
  <c r="AD14" i="10" s="1"/>
  <c r="P27" i="2"/>
  <c r="R27" i="2"/>
  <c r="R29" i="2"/>
  <c r="R31" i="2"/>
  <c r="R30" i="2"/>
  <c r="R28" i="2"/>
  <c r="O28" i="2"/>
  <c r="I14" i="3"/>
  <c r="F7" i="3"/>
  <c r="C6" i="8"/>
  <c r="O31" i="2"/>
  <c r="N29" i="2"/>
  <c r="O27" i="2"/>
  <c r="N28" i="2"/>
  <c r="Q29" i="2"/>
  <c r="P30" i="2"/>
  <c r="N31" i="2"/>
  <c r="Q27" i="2"/>
  <c r="P28" i="2"/>
  <c r="O29" i="2"/>
  <c r="N30" i="2"/>
  <c r="P31" i="2"/>
  <c r="Q30" i="2"/>
  <c r="Q28" i="2"/>
  <c r="Q31" i="2"/>
  <c r="B14" i="8"/>
  <c r="C14" i="8"/>
  <c r="D14" i="8"/>
  <c r="D11" i="10"/>
  <c r="C11" i="10"/>
  <c r="B11" i="10"/>
  <c r="E11" i="10"/>
  <c r="E14" i="8"/>
  <c r="AA27" i="10" l="1"/>
  <c r="AD27" i="10" s="1"/>
  <c r="AD26" i="10"/>
  <c r="B86" i="10"/>
  <c r="B83" i="10" s="1"/>
  <c r="AA28" i="10"/>
  <c r="AD28" i="10" s="1"/>
  <c r="C15" i="8"/>
  <c r="B34" i="10"/>
  <c r="C4" i="10"/>
  <c r="E15" i="8"/>
  <c r="B36" i="10"/>
  <c r="E4" i="10"/>
  <c r="D13" i="8"/>
  <c r="C13" i="8"/>
  <c r="C5" i="10"/>
  <c r="B15" i="8"/>
  <c r="B33" i="10"/>
  <c r="F42" i="10" s="1"/>
  <c r="G42" i="10" s="1"/>
  <c r="E13" i="8"/>
  <c r="D15" i="8"/>
  <c r="B35" i="10"/>
  <c r="D4" i="10"/>
  <c r="B13" i="8"/>
  <c r="R32" i="2"/>
  <c r="G12" i="3"/>
  <c r="F13" i="8"/>
  <c r="E9" i="3"/>
  <c r="H18" i="3"/>
  <c r="H9" i="3"/>
  <c r="G18" i="3"/>
  <c r="G9" i="3"/>
  <c r="F9" i="3"/>
  <c r="C16" i="8"/>
  <c r="F6" i="8"/>
  <c r="I7" i="3"/>
  <c r="H10" i="3"/>
  <c r="E10" i="3"/>
  <c r="H8" i="3"/>
  <c r="F12" i="3"/>
  <c r="E8" i="3"/>
  <c r="E12" i="3"/>
  <c r="G10" i="3"/>
  <c r="F8" i="3"/>
  <c r="H12" i="3"/>
  <c r="G8" i="3"/>
  <c r="F10" i="3"/>
  <c r="D16" i="8"/>
  <c r="F17" i="3"/>
  <c r="B16" i="8"/>
  <c r="B17" i="8" s="1"/>
  <c r="E16" i="8"/>
  <c r="C17" i="8" l="1"/>
  <c r="G43" i="10"/>
  <c r="E43" i="10" s="1"/>
  <c r="E17" i="8"/>
  <c r="D17" i="8"/>
  <c r="B84" i="10"/>
  <c r="B5" i="10"/>
  <c r="D5" i="10"/>
  <c r="E5" i="10"/>
  <c r="H17" i="3"/>
  <c r="F11" i="10"/>
  <c r="E10" i="10"/>
  <c r="D10" i="10"/>
  <c r="C10" i="10"/>
  <c r="AA29" i="10"/>
  <c r="AD29" i="10" s="1"/>
  <c r="G44" i="10"/>
  <c r="D44" i="10" s="1"/>
  <c r="B37" i="10"/>
  <c r="F4" i="10"/>
  <c r="G17" i="3"/>
  <c r="G45" i="10"/>
  <c r="I9" i="3"/>
  <c r="F14" i="8"/>
  <c r="C9" i="8"/>
  <c r="C12" i="8" s="1"/>
  <c r="F19" i="3"/>
  <c r="B9" i="8"/>
  <c r="B12" i="8" s="1"/>
  <c r="E19" i="3"/>
  <c r="F18" i="3"/>
  <c r="E9" i="8"/>
  <c r="E12" i="8" s="1"/>
  <c r="H19" i="3"/>
  <c r="I12" i="3"/>
  <c r="F15" i="8"/>
  <c r="E18" i="3"/>
  <c r="D9" i="8"/>
  <c r="D12" i="8" s="1"/>
  <c r="G19" i="3"/>
  <c r="I8" i="3"/>
  <c r="I10" i="3"/>
  <c r="F10" i="10"/>
  <c r="D86" i="10" l="1"/>
  <c r="D84" i="10" s="1"/>
  <c r="E86" i="10"/>
  <c r="E84" i="10" s="1"/>
  <c r="I11" i="10"/>
  <c r="F86" i="10"/>
  <c r="F84" i="10" s="1"/>
  <c r="C86" i="10"/>
  <c r="C84" i="10" s="1"/>
  <c r="F5" i="10"/>
  <c r="I10" i="10"/>
  <c r="AA30" i="10"/>
  <c r="E44" i="10"/>
  <c r="D43" i="10"/>
  <c r="B43" i="10" s="1"/>
  <c r="B44" i="10" s="1"/>
  <c r="E45" i="10"/>
  <c r="D45" i="10"/>
  <c r="G46" i="10"/>
  <c r="G47" i="10"/>
  <c r="F16" i="8"/>
  <c r="F17" i="8" s="1"/>
  <c r="I18" i="3"/>
  <c r="F13" i="3"/>
  <c r="F9" i="8"/>
  <c r="I19" i="3"/>
  <c r="G13" i="3"/>
  <c r="H13" i="3"/>
  <c r="E13" i="3"/>
  <c r="I17" i="3"/>
  <c r="F12" i="8" l="1"/>
  <c r="E83" i="10"/>
  <c r="D83" i="10"/>
  <c r="F83" i="10"/>
  <c r="C83" i="10"/>
  <c r="AA31" i="10"/>
  <c r="B45" i="10"/>
  <c r="E46" i="10"/>
  <c r="D46" i="10"/>
  <c r="D47" i="10"/>
  <c r="E47" i="10"/>
  <c r="I13" i="3"/>
  <c r="AA32" i="10" l="1"/>
  <c r="AD31" i="10"/>
  <c r="B46" i="10"/>
  <c r="B47" i="10" s="1"/>
  <c r="B48" i="10" s="1"/>
  <c r="C49" i="10" s="1"/>
  <c r="Q32" i="2"/>
  <c r="P32" i="2"/>
  <c r="N32" i="2"/>
  <c r="O32" i="2"/>
  <c r="AA33" i="10" l="1"/>
  <c r="AD32" i="10"/>
  <c r="AA34" i="10" l="1"/>
  <c r="AA35" i="10" s="1"/>
  <c r="AA36" i="10" s="1"/>
  <c r="AD33" i="10"/>
  <c r="AE23" i="10" s="1"/>
  <c r="AE9" i="10"/>
  <c r="AF9" i="10" s="1"/>
  <c r="AE4" i="10"/>
  <c r="AF4" i="10" s="1"/>
  <c r="AE7" i="10"/>
  <c r="AF7" i="10" s="1"/>
  <c r="AE36" i="10"/>
  <c r="AE14" i="10"/>
  <c r="AE30" i="10"/>
  <c r="AF30" i="10" s="1"/>
  <c r="AE33" i="10"/>
  <c r="AE22" i="10"/>
  <c r="A20" i="10" l="1"/>
  <c r="AG7" i="10"/>
  <c r="AE15" i="10"/>
  <c r="AF15" i="10" s="1"/>
  <c r="AE11" i="10"/>
  <c r="AF11" i="10" s="1"/>
  <c r="AG11" i="10" s="1"/>
  <c r="AE35" i="10"/>
  <c r="AE32" i="10"/>
  <c r="AE12" i="10"/>
  <c r="AF12" i="10" s="1"/>
  <c r="AG12" i="10" s="1"/>
  <c r="AE10" i="10"/>
  <c r="AF10" i="10" s="1"/>
  <c r="AG10" i="10" s="1"/>
  <c r="AG9" i="10"/>
  <c r="A22" i="10"/>
  <c r="AE16" i="10"/>
  <c r="AE27" i="10"/>
  <c r="AF27" i="10" s="1"/>
  <c r="AE3" i="10"/>
  <c r="AF3" i="10" s="1"/>
  <c r="AE17" i="10"/>
  <c r="AE26" i="10"/>
  <c r="AF26" i="10" s="1"/>
  <c r="AE8" i="10"/>
  <c r="AF8" i="10" s="1"/>
  <c r="AE28" i="10"/>
  <c r="AF28" i="10" s="1"/>
  <c r="AG4" i="10"/>
  <c r="A17" i="10"/>
  <c r="AE31" i="10"/>
  <c r="AF31" i="10" s="1"/>
  <c r="AE24" i="10"/>
  <c r="AF24" i="10" s="1"/>
  <c r="AE6" i="10"/>
  <c r="AF6" i="10" s="1"/>
  <c r="AE34" i="10"/>
  <c r="AE18" i="10"/>
  <c r="AE29" i="10"/>
  <c r="AF29" i="10" s="1"/>
  <c r="AE21" i="10"/>
  <c r="AE13" i="10"/>
  <c r="AF13" i="10" s="1"/>
  <c r="AG13" i="10" s="1"/>
  <c r="AE25" i="10"/>
  <c r="AF25" i="10" s="1"/>
  <c r="AE5" i="10"/>
  <c r="AF5" i="10" s="1"/>
  <c r="AE20" i="10"/>
  <c r="AE19" i="10"/>
  <c r="AG6" i="10" l="1"/>
  <c r="A19" i="10"/>
  <c r="AG8" i="10"/>
  <c r="A21" i="10"/>
  <c r="A18" i="10"/>
  <c r="AG5" i="10"/>
  <c r="A16" i="10"/>
  <c r="AG3" i="10"/>
  <c r="C17" i="10"/>
  <c r="F17" i="10"/>
  <c r="G17" i="10"/>
  <c r="E17" i="10"/>
  <c r="B17" i="10"/>
  <c r="D17" i="10"/>
  <c r="H17" i="10"/>
  <c r="G22" i="10"/>
  <c r="C22" i="10"/>
  <c r="F22" i="10"/>
  <c r="B22" i="10"/>
  <c r="D22" i="10"/>
  <c r="E22" i="10"/>
  <c r="H22" i="10"/>
  <c r="F20" i="10"/>
  <c r="D20" i="10"/>
  <c r="G20" i="10"/>
  <c r="B20" i="10"/>
  <c r="C20" i="10"/>
  <c r="E20" i="10"/>
  <c r="H20" i="10"/>
  <c r="AH13" i="10" l="1"/>
  <c r="AI13" i="10" s="1"/>
  <c r="AH3" i="10"/>
  <c r="AI3" i="10" s="1"/>
  <c r="A25" i="10" s="1"/>
  <c r="AH11" i="10"/>
  <c r="AI11" i="10" s="1"/>
  <c r="AH6" i="10"/>
  <c r="AI6" i="10" s="1"/>
  <c r="A28" i="10" s="1"/>
  <c r="AH10" i="10"/>
  <c r="AI10" i="10" s="1"/>
  <c r="AH9" i="10"/>
  <c r="AI9" i="10" s="1"/>
  <c r="A31" i="10" s="1"/>
  <c r="AH12" i="10"/>
  <c r="AI12" i="10" s="1"/>
  <c r="AH7" i="10"/>
  <c r="AI7" i="10" s="1"/>
  <c r="A29" i="10" s="1"/>
  <c r="AH5" i="10"/>
  <c r="AI5" i="10" s="1"/>
  <c r="A27" i="10" s="1"/>
  <c r="AH4" i="10"/>
  <c r="AI4" i="10" s="1"/>
  <c r="A26" i="10" s="1"/>
  <c r="AH8" i="10"/>
  <c r="AI8" i="10" s="1"/>
  <c r="A30" i="10" s="1"/>
  <c r="G16" i="10"/>
  <c r="B16" i="10"/>
  <c r="F16" i="10"/>
  <c r="D16" i="10"/>
  <c r="H16" i="10"/>
  <c r="E16" i="10"/>
  <c r="C16" i="10"/>
  <c r="I17" i="10"/>
  <c r="C18" i="10"/>
  <c r="B18" i="10"/>
  <c r="H18" i="10"/>
  <c r="E18" i="10"/>
  <c r="G18" i="10"/>
  <c r="F18" i="10"/>
  <c r="D18" i="10"/>
  <c r="C21" i="10"/>
  <c r="F21" i="10"/>
  <c r="H21" i="10"/>
  <c r="B21" i="10"/>
  <c r="D21" i="10"/>
  <c r="E21" i="10"/>
  <c r="G21" i="10"/>
  <c r="I22" i="10"/>
  <c r="I20" i="10"/>
  <c r="D19" i="10"/>
  <c r="C19" i="10"/>
  <c r="F19" i="10"/>
  <c r="G19" i="10"/>
  <c r="H19" i="10"/>
  <c r="E19" i="10"/>
  <c r="B19" i="10"/>
  <c r="D31" i="10" l="1"/>
  <c r="C31" i="10"/>
  <c r="F31" i="10"/>
  <c r="E31" i="10"/>
  <c r="H31" i="10"/>
  <c r="G31" i="10"/>
  <c r="B31" i="10"/>
  <c r="I18" i="10"/>
  <c r="I16" i="10"/>
  <c r="F28" i="10"/>
  <c r="E28" i="10"/>
  <c r="B28" i="10"/>
  <c r="D28" i="10"/>
  <c r="C28" i="10"/>
  <c r="G28" i="10"/>
  <c r="H28" i="10"/>
  <c r="I21" i="10"/>
  <c r="G30" i="10"/>
  <c r="B30" i="10"/>
  <c r="D30" i="10"/>
  <c r="C30" i="10"/>
  <c r="H30" i="10"/>
  <c r="E30" i="10"/>
  <c r="F30" i="10"/>
  <c r="I19" i="10"/>
  <c r="B26" i="10"/>
  <c r="H26" i="10"/>
  <c r="D26" i="10"/>
  <c r="G26" i="10"/>
  <c r="F26" i="10"/>
  <c r="C26" i="10"/>
  <c r="E26" i="10"/>
  <c r="B25" i="10"/>
  <c r="F25" i="10"/>
  <c r="E25" i="10"/>
  <c r="G25" i="10"/>
  <c r="H25" i="10"/>
  <c r="C25" i="10"/>
  <c r="D25" i="10"/>
  <c r="C29" i="10"/>
  <c r="H29" i="10"/>
  <c r="E29" i="10"/>
  <c r="D29" i="10"/>
  <c r="F29" i="10"/>
  <c r="B29" i="10"/>
  <c r="G29" i="10"/>
  <c r="F27" i="10"/>
  <c r="B27" i="10"/>
  <c r="D27" i="10"/>
  <c r="C27" i="10"/>
  <c r="E27" i="10"/>
  <c r="G27" i="10"/>
  <c r="H27" i="10"/>
  <c r="I29" i="10" l="1"/>
  <c r="J29" i="10" s="1"/>
  <c r="J18" i="10"/>
  <c r="I31" i="10"/>
  <c r="J31" i="10" s="1"/>
  <c r="I26" i="10"/>
  <c r="J26" i="10" s="1"/>
  <c r="I30" i="10"/>
  <c r="J30" i="10" s="1"/>
  <c r="I25" i="10"/>
  <c r="J25" i="10" s="1"/>
  <c r="J22" i="10"/>
  <c r="I28" i="10"/>
  <c r="J28" i="10" s="1"/>
  <c r="I27" i="10"/>
  <c r="J27" i="10" s="1"/>
  <c r="J19" i="10"/>
  <c r="J17" i="10"/>
  <c r="J20" i="10"/>
  <c r="J21" i="10"/>
  <c r="J16" i="10"/>
  <c r="N20" i="10" l="1"/>
  <c r="Q20" i="10" s="1"/>
  <c r="N17" i="10"/>
  <c r="Q17" i="10" s="1"/>
  <c r="N16" i="10"/>
  <c r="Q16" i="10" s="1"/>
  <c r="N19" i="10"/>
  <c r="Q19" i="10" s="1"/>
  <c r="N18" i="10"/>
  <c r="Q18" i="10" s="1"/>
  <c r="N21" i="10"/>
  <c r="Q21" i="10" s="1"/>
  <c r="N22" i="10"/>
  <c r="Q22" i="10" s="1"/>
  <c r="Q23" i="10" l="1"/>
  <c r="R17" i="10" s="1"/>
  <c r="R20" i="10" l="1"/>
  <c r="R16" i="10"/>
  <c r="N23" i="10"/>
  <c r="R19" i="10"/>
  <c r="R18" i="10"/>
  <c r="R21" i="10"/>
  <c r="R22" i="10"/>
</calcChain>
</file>

<file path=xl/sharedStrings.xml><?xml version="1.0" encoding="utf-8"?>
<sst xmlns="http://schemas.openxmlformats.org/spreadsheetml/2006/main" count="385" uniqueCount="262">
  <si>
    <t>Indicator</t>
  </si>
  <si>
    <t>Property, plant and equipment</t>
  </si>
  <si>
    <t>Investment property</t>
  </si>
  <si>
    <t>Total non-current assets</t>
  </si>
  <si>
    <t>Current tax assets</t>
  </si>
  <si>
    <t>Total current assets</t>
  </si>
  <si>
    <t>Total assets</t>
  </si>
  <si>
    <t>Issued capital</t>
  </si>
  <si>
    <t>Share premium</t>
  </si>
  <si>
    <t>Retained earnings</t>
  </si>
  <si>
    <t>Total Equity</t>
  </si>
  <si>
    <t>Deferred tax liabilities</t>
  </si>
  <si>
    <t>Total non-current liabilities</t>
  </si>
  <si>
    <t>Trade and other payables</t>
  </si>
  <si>
    <t>Total current liabilities</t>
  </si>
  <si>
    <t>Total liabilities</t>
  </si>
  <si>
    <t>Total equity and liabilities</t>
  </si>
  <si>
    <t>Income statement</t>
  </si>
  <si>
    <t>Investment income</t>
  </si>
  <si>
    <t>Alte castiguri sau pierderi</t>
  </si>
  <si>
    <t>Other gains and losses</t>
  </si>
  <si>
    <t>Variatia stocurilor</t>
  </si>
  <si>
    <t>Cheltuieli cu materiile prime si consumabile</t>
  </si>
  <si>
    <t>Raw materials and consumables used</t>
  </si>
  <si>
    <t>Cheltuieli cu deprecierea si amortizarea activelor</t>
  </si>
  <si>
    <t>Depreciation and amortisation expenses</t>
  </si>
  <si>
    <t>Impairment losses on financial assets</t>
  </si>
  <si>
    <t>Cheltuieli cu beneficiile angajatilor</t>
  </si>
  <si>
    <t>Employee benefits expenses and social charges</t>
  </si>
  <si>
    <t>Cheltuieli cu contributiile privind asigurarile si protectia sociala</t>
  </si>
  <si>
    <t>Costul net al finantarii</t>
  </si>
  <si>
    <t>Alte cheltuieli</t>
  </si>
  <si>
    <t>Other expenses</t>
  </si>
  <si>
    <t>Profit (pierdere) inaintea impozitarii</t>
  </si>
  <si>
    <t>Profit (loss) before tax</t>
  </si>
  <si>
    <t>Impozit pe profit</t>
  </si>
  <si>
    <t>Income tax expense</t>
  </si>
  <si>
    <t>Profit (pierdere) net</t>
  </si>
  <si>
    <t>Profit (loss) of the year</t>
  </si>
  <si>
    <t>Pierderi din reevaluarea imobilizarilor corporale</t>
  </si>
  <si>
    <t>Ajustare impozit amanat aferent rezervelor din reevaluare nedeductibile fiscal</t>
  </si>
  <si>
    <t>Total comprehensive income</t>
  </si>
  <si>
    <t>Total rezultat global</t>
  </si>
  <si>
    <t>Venituri din chirii</t>
  </si>
  <si>
    <t xml:space="preserve"> Rental and royalty income </t>
  </si>
  <si>
    <t>Venituri din dobanzi</t>
  </si>
  <si>
    <t xml:space="preserve"> Interest income </t>
  </si>
  <si>
    <t xml:space="preserve"> Investment income (dividends) - Total Commercial Management </t>
  </si>
  <si>
    <t xml:space="preserve"> Investment income (dividends) - Recyplat </t>
  </si>
  <si>
    <t xml:space="preserve"> Investment income (dividends) - Yenki </t>
  </si>
  <si>
    <t xml:space="preserve"> Investment income (dividends) - Infotech Solutions </t>
  </si>
  <si>
    <t xml:space="preserve"> Investment income (dividends) - RC Energo Install</t>
  </si>
  <si>
    <t xml:space="preserve"> Investment income (dividends) - LivingJumbo Industry </t>
  </si>
  <si>
    <t>Total</t>
  </si>
  <si>
    <t>Total vanzari nete</t>
  </si>
  <si>
    <t>Detalii indicator "Vanzari nete"</t>
  </si>
  <si>
    <t>Detalii indicator "Venituri din investitii"</t>
  </si>
  <si>
    <t>Alte venituri</t>
  </si>
  <si>
    <t xml:space="preserve"> - Venituri din vanzari de produse finite, total, din care:</t>
  </si>
  <si>
    <t xml:space="preserve"> - Venituri din vanzari de semifabricate</t>
  </si>
  <si>
    <t xml:space="preserve"> - Venituri din prestari servicii</t>
  </si>
  <si>
    <t xml:space="preserve"> - Venituri din vanzari de marfuri</t>
  </si>
  <si>
    <t xml:space="preserve"> - Venituri din alte activitati</t>
  </si>
  <si>
    <t>Vanzari nete *</t>
  </si>
  <si>
    <t>Venituri din investitii *</t>
  </si>
  <si>
    <t>© ROMCARBON SA</t>
  </si>
  <si>
    <t xml:space="preserve"> - Sales of finished goods, total, out of which:</t>
  </si>
  <si>
    <t xml:space="preserve"> - Sales of intermediary goods</t>
  </si>
  <si>
    <t xml:space="preserve"> - Services rendered</t>
  </si>
  <si>
    <t xml:space="preserve"> - Sale of commodities</t>
  </si>
  <si>
    <t xml:space="preserve"> - Revenues from sundry services</t>
  </si>
  <si>
    <t>EBITDA</t>
  </si>
  <si>
    <t>Formula</t>
  </si>
  <si>
    <t>EBITDA in total vanzari</t>
  </si>
  <si>
    <t>EBITDA in capitaluri proprii</t>
  </si>
  <si>
    <t>Rata profitului brut</t>
  </si>
  <si>
    <t>Cifra de afaceri</t>
  </si>
  <si>
    <t>Indicatorul lichiditatii curente</t>
  </si>
  <si>
    <t>Indicatorul lichiditatii imediate(testul acid)</t>
  </si>
  <si>
    <t>Indicatorul gradului de indatorare(1)</t>
  </si>
  <si>
    <t>Indicatorul gradului de indatorare(2)</t>
  </si>
  <si>
    <t>Rata de acoperire a dobanzii</t>
  </si>
  <si>
    <t>Viteza de rotatie a creantelor comerciale</t>
  </si>
  <si>
    <t>Viteza de rotatie a datoriilor comerciale</t>
  </si>
  <si>
    <t>Rata rentabilitatii economice(ROA)</t>
  </si>
  <si>
    <t>Rata rentabilitatii financiare(ROE)</t>
  </si>
  <si>
    <t>Rata rentabilitatii comerciale(ROS)</t>
  </si>
  <si>
    <t>EBITDA/Cifra de afaceri</t>
  </si>
  <si>
    <t>EBITDA/Capitaluri</t>
  </si>
  <si>
    <t>Profit brut/Cifra de afaceri</t>
  </si>
  <si>
    <t>Active curente/Datorii curente</t>
  </si>
  <si>
    <t>(Active curente-Stocuri)/Datorii curente</t>
  </si>
  <si>
    <t>Datorii pe termen lung/Capitaluri</t>
  </si>
  <si>
    <t>Total datorii/Total active</t>
  </si>
  <si>
    <t>EBIT/Cheltuieli cu dobanzile</t>
  </si>
  <si>
    <t>EBIT</t>
  </si>
  <si>
    <t>Sold mediu creante comerciale/Cifra de afaceri</t>
  </si>
  <si>
    <t>Sold mediu datorii comerciale/Cifra de afaceri</t>
  </si>
  <si>
    <t>Rezultat net/Active totale</t>
  </si>
  <si>
    <t>Rezultat net/Capitaluri</t>
  </si>
  <si>
    <t>Rezultat net/Cifra de afaceri</t>
  </si>
  <si>
    <t xml:space="preserve">Profit net </t>
  </si>
  <si>
    <t>Cheltuieli cu impozitul pe profit (+)</t>
  </si>
  <si>
    <t>Cheltuieli cu dobanzile (+)</t>
  </si>
  <si>
    <t>Cheltuieli cu amortizarea (+)</t>
  </si>
  <si>
    <t>Venituri din subventii pentru investitii (-)</t>
  </si>
  <si>
    <t>Vezi pagina EBIT-EBITDA</t>
  </si>
  <si>
    <t>Sales</t>
  </si>
  <si>
    <t>EBITDA to sales ratio</t>
  </si>
  <si>
    <t>EBITDA to Equity ratio</t>
  </si>
  <si>
    <t>Gross profit margin</t>
  </si>
  <si>
    <t>Current ratio</t>
  </si>
  <si>
    <t>Quick ratio</t>
  </si>
  <si>
    <t>Account receivable turnover ratio</t>
  </si>
  <si>
    <t>Account payable turnover ratio</t>
  </si>
  <si>
    <t>Return on assets (ROA)</t>
  </si>
  <si>
    <t>Return on equity (ROE)</t>
  </si>
  <si>
    <t>Return on sales (ROS)</t>
  </si>
  <si>
    <t>Non-current liabilities to Equity ratio</t>
  </si>
  <si>
    <t>Total liabilities to Assets ratio</t>
  </si>
  <si>
    <t>See EBIT-EBITDA</t>
  </si>
  <si>
    <t>EBITDA/Sales</t>
  </si>
  <si>
    <t>EBITDA/Equity</t>
  </si>
  <si>
    <t>Gross profit/Sales</t>
  </si>
  <si>
    <t>Current assets/Current liabilities</t>
  </si>
  <si>
    <t>(Current assets-Inventories)/Current liabilities</t>
  </si>
  <si>
    <t>Non-current liabilities/Equity</t>
  </si>
  <si>
    <t>Total liabilities/Total Assets</t>
  </si>
  <si>
    <t>EBIT/Interest expenses</t>
  </si>
  <si>
    <t>Average receivables/Sales</t>
  </si>
  <si>
    <t>Average payables/Sales</t>
  </si>
  <si>
    <t>Net profit/Assets</t>
  </si>
  <si>
    <t>Net profit/Equity</t>
  </si>
  <si>
    <t>Net profit/Sales</t>
  </si>
  <si>
    <t>Vanzari nete + Venituri din chirii</t>
  </si>
  <si>
    <t xml:space="preserve">Net profit </t>
  </si>
  <si>
    <t>Profit tax (+)</t>
  </si>
  <si>
    <t>Expenses with interests (+)</t>
  </si>
  <si>
    <t>Depreciation(+)</t>
  </si>
  <si>
    <t>Revenues from subsidies for investment (-)</t>
  </si>
  <si>
    <t>The source of the financial information is the company annual reports.</t>
  </si>
  <si>
    <r>
      <rPr>
        <b/>
        <u/>
        <sz val="11"/>
        <rFont val="Candara"/>
        <family val="2"/>
      </rPr>
      <t>Note:</t>
    </r>
    <r>
      <rPr>
        <b/>
        <sz val="11"/>
        <rFont val="Candara"/>
        <family val="2"/>
      </rPr>
      <t xml:space="preserve"> </t>
    </r>
    <r>
      <rPr>
        <i/>
        <sz val="11"/>
        <rFont val="Candara"/>
        <family val="2"/>
      </rPr>
      <t>This document has been prepared for information purpose.</t>
    </r>
    <r>
      <rPr>
        <b/>
        <sz val="11"/>
        <rFont val="Candara"/>
        <family val="2"/>
      </rPr>
      <t xml:space="preserve">
</t>
    </r>
  </si>
  <si>
    <t xml:space="preserve">Revenue +  Rental and royalty income </t>
  </si>
  <si>
    <t>Net profit</t>
  </si>
  <si>
    <t>Non-Current assets</t>
  </si>
  <si>
    <t>Current assets</t>
  </si>
  <si>
    <t>Total Liabilities</t>
  </si>
  <si>
    <t>Item</t>
  </si>
  <si>
    <t>Buzau, 132 Transilvaniei street</t>
  </si>
  <si>
    <t>Phone : +40(0)238 711 155</t>
  </si>
  <si>
    <t>Fax: +40(0)238 710 697</t>
  </si>
  <si>
    <t>investor.relations@romcarbon.com</t>
  </si>
  <si>
    <t>Postal code: 120012</t>
  </si>
  <si>
    <t>Deferred tax adjustment for non-deductible tax revaluation reserves</t>
  </si>
  <si>
    <t>In this file all the amounts are expressed in lei.</t>
  </si>
  <si>
    <t>Interest coverage ratio</t>
  </si>
  <si>
    <t>Note: In EBIT and EBITDA are included also the non-repeating elements suchs as dividends, sales of assets, others.</t>
  </si>
  <si>
    <t>Select the 1st comparison element</t>
  </si>
  <si>
    <t>Select the 2nd comparison element</t>
  </si>
  <si>
    <t>Liabilities</t>
  </si>
  <si>
    <t>Assets</t>
  </si>
  <si>
    <t>List1</t>
  </si>
  <si>
    <t>List2</t>
  </si>
  <si>
    <t>Borrowings</t>
  </si>
  <si>
    <t>Select the year</t>
  </si>
  <si>
    <t>List3</t>
  </si>
  <si>
    <t>Non-current assets</t>
  </si>
  <si>
    <t>Non-current liabilities</t>
  </si>
  <si>
    <t>Current liabilities</t>
  </si>
  <si>
    <t>Equity</t>
  </si>
  <si>
    <t>Select the element</t>
  </si>
  <si>
    <t>Equity&amp;Liabilities</t>
  </si>
  <si>
    <t>Start</t>
  </si>
  <si>
    <t>Base</t>
  </si>
  <si>
    <t>End</t>
  </si>
  <si>
    <t>Down</t>
  </si>
  <si>
    <t>Up</t>
  </si>
  <si>
    <t>Net</t>
  </si>
  <si>
    <t>An</t>
  </si>
  <si>
    <t>Date</t>
  </si>
  <si>
    <t>Rank</t>
  </si>
  <si>
    <t>Pozitie</t>
  </si>
  <si>
    <t>Center</t>
  </si>
  <si>
    <t>Value</t>
  </si>
  <si>
    <t>%</t>
  </si>
  <si>
    <t>CP1</t>
  </si>
  <si>
    <t>CP2</t>
  </si>
  <si>
    <t>CP3</t>
  </si>
  <si>
    <t>CP4</t>
  </si>
  <si>
    <t>CP5</t>
  </si>
  <si>
    <t>CP6</t>
  </si>
  <si>
    <t>CP7</t>
  </si>
  <si>
    <t>www.romcarbon.com</t>
  </si>
  <si>
    <t xml:space="preserve">Plastic processing sector: polyethylene+polystyrene+polypropylene </t>
  </si>
  <si>
    <t>Regenerated polymers &amp; Compounds</t>
  </si>
  <si>
    <t>Other production sectors (industrial and automotive filters, active carbon, breathing protective equipment, PVC traffic base)</t>
  </si>
  <si>
    <t>Other activities</t>
  </si>
  <si>
    <t>Net sales</t>
  </si>
  <si>
    <t>"Net sales" details</t>
  </si>
  <si>
    <t>EBITDA Operational</t>
  </si>
  <si>
    <t>Debt ratio</t>
  </si>
  <si>
    <t>Current liquidity</t>
  </si>
  <si>
    <r>
      <t xml:space="preserve">Note: </t>
    </r>
    <r>
      <rPr>
        <b/>
        <u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is calculated starting with the net profit and includes also the non-repeating elements suchs as dividends, sales of assets, others.</t>
    </r>
  </si>
  <si>
    <r>
      <rPr>
        <b/>
        <u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is calculated only for operational activity, excluding the depreciation, sales of non-current assests, non-repeating elements and financial activity.</t>
    </r>
  </si>
  <si>
    <t>Select the sector &gt;&gt;&gt;</t>
  </si>
  <si>
    <t>Plastics proccessing</t>
  </si>
  <si>
    <t>Regenerated polymers&amp;compounds</t>
  </si>
  <si>
    <t>Other production activities</t>
  </si>
  <si>
    <t>Weights in "Net sales"</t>
  </si>
  <si>
    <t>Grouped by sectors, the item "Net sales" is presented in the below table:</t>
  </si>
  <si>
    <t>Intangible assets other than goodwill</t>
  </si>
  <si>
    <t>Investments in subsidiaries, joint ventures and associates</t>
  </si>
  <si>
    <t>Current inventories</t>
  </si>
  <si>
    <t>Trade and other current receivables</t>
  </si>
  <si>
    <t>Other current financial assets</t>
  </si>
  <si>
    <t>Other current non-financial assets</t>
  </si>
  <si>
    <t>Cash and cash equivalents</t>
  </si>
  <si>
    <t>Non-current assets or disposal groups classified as held for sale or as held for distribution to owners</t>
  </si>
  <si>
    <t>Other reserves</t>
  </si>
  <si>
    <t>Other non – current provisions</t>
  </si>
  <si>
    <t>Other non-current financial liabilities</t>
  </si>
  <si>
    <t>Other non-current non-financial liabilities</t>
  </si>
  <si>
    <t>Other current financial liabilities</t>
  </si>
  <si>
    <t>Other current non-financial liabilities</t>
  </si>
  <si>
    <t>Revenue</t>
  </si>
  <si>
    <t>Other Income</t>
  </si>
  <si>
    <t>Increase (decrease) in inventories of finished goods and work in progress</t>
  </si>
  <si>
    <t>Profit (loss) from operating activities</t>
  </si>
  <si>
    <t>Finance Income</t>
  </si>
  <si>
    <t>Other income details</t>
  </si>
  <si>
    <t>Finance Income details</t>
  </si>
  <si>
    <t>Note: From 2020 the format of the Financial Statements had changed. The previous years are presented according to the new format.</t>
  </si>
  <si>
    <t>Finance Expense</t>
  </si>
  <si>
    <t>Forex (gain)</t>
  </si>
  <si>
    <t>Revenues from subsidies for investments</t>
  </si>
  <si>
    <t>Net profit w/o the impact of the sales of Green-Group shares</t>
  </si>
  <si>
    <t xml:space="preserve">Revenues from dividends </t>
  </si>
  <si>
    <t>Net gain/loss from the revaluation of tangible assets</t>
  </si>
  <si>
    <t>Expenses related to the sales of Green-group shares*</t>
  </si>
  <si>
    <t>*In December 2022 the Group sold its financial investment in Green-Group</t>
  </si>
  <si>
    <t>CASH FLOWS FROM OPERATIONS</t>
  </si>
  <si>
    <t xml:space="preserve">FLUXURI DE NUMERAR DIN ACTIVITATEA DE  EXPLOATARE </t>
  </si>
  <si>
    <t>Cash generated from operations ( A )</t>
  </si>
  <si>
    <t>Numerar net generat /utilizat din activitati operationale (de exploatare)( A )</t>
  </si>
  <si>
    <t>CASH FLOWS FROM INVESTMENT ACTIVITY</t>
  </si>
  <si>
    <t>FLUXURI DE NUMERAR DIN ACTIVITATEA DE INVESTITII</t>
  </si>
  <si>
    <t>Net cash (used in)/generated by investing activities( B )</t>
  </si>
  <si>
    <t>Numerar net  generat /utilizat din activitati de investitii ( B )</t>
  </si>
  <si>
    <t>CASH FLOWS FROM FINANCING ACTIVITY</t>
  </si>
  <si>
    <t>FLUXURI DE NUMERAR DIN ACTIVITATEA DE FINANTARE</t>
  </si>
  <si>
    <t>Net cash generated/used by/in financing activities ( C )</t>
  </si>
  <si>
    <t>Numerar net  generat /utilizat din activiti de finantare ( C )</t>
  </si>
  <si>
    <t>NET INCREASE IN CASH AND CASH EQUIVALENTS(A+B+C)</t>
  </si>
  <si>
    <t>CRESTEREA  NETA DE NUMERAR SI ECHIVALENTE DE NUMERAR(A+B+C)</t>
  </si>
  <si>
    <t>CASH AND CASH EQUIVALENTS AT THE BEGINNING OF THE YEAR</t>
  </si>
  <si>
    <t>NUMERAR SI ECHIVALENTE DE NUMERAR LA INCEPUTUL PERIOADEI</t>
  </si>
  <si>
    <t>CASH AND CASH EQUIVALENTS AT THE END OF THE PERIOD</t>
  </si>
  <si>
    <t>NUMERAR SI ECHIVALENTE DE NUMERAR LA  SFARSITUL PERIOADEI</t>
  </si>
  <si>
    <t>SEPARATE ANNUAL FINANCIAL DATA SINCE 2018 (IFRS - EU)                                             *preliminary</t>
  </si>
  <si>
    <t>*preliminary</t>
  </si>
  <si>
    <t>In total  [2025]</t>
  </si>
  <si>
    <t>Gain/loss from disposal of short-term financial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</si>
</sst>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  <numFmt numFmtId="168" formatCode="_-* #,##0.00\ _l_e_i_-;\-* #,##0.00\ _l_e_i_-;_-* &quot;-&quot;??\ _l_e_i_-;_-@_-"/>
    <numFmt numFmtId="169" formatCode="_-* #,##0.000000_-;\-* #,##0.000000_-;_-* &quot;-&quot;??_-;_-@_-"/>
    <numFmt numFmtId="170" formatCode="_-* #,##0.000_-;\-* #,##0.000_-;_-* &quot;-&quot;??_-;_-@_-"/>
    <numFmt numFmtId="171" formatCode="_(* #,##0.0000_);_(* \(#,##0.0000\);_(* &quot;-&quot;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b/>
      <sz val="11"/>
      <color theme="3" tint="-0.499984740745262"/>
      <name val="Candara"/>
      <family val="2"/>
    </font>
    <font>
      <b/>
      <i/>
      <sz val="11"/>
      <name val="Candara"/>
      <family val="2"/>
    </font>
    <font>
      <i/>
      <sz val="11"/>
      <color theme="1"/>
      <name val="Candara"/>
      <family val="2"/>
    </font>
    <font>
      <b/>
      <sz val="11"/>
      <color theme="0"/>
      <name val="Candara"/>
      <family val="2"/>
    </font>
    <font>
      <sz val="11"/>
      <color theme="0"/>
      <name val="Candara"/>
      <family val="2"/>
    </font>
    <font>
      <i/>
      <sz val="11"/>
      <color theme="0"/>
      <name val="Candara"/>
      <family val="2"/>
    </font>
    <font>
      <b/>
      <sz val="10.5"/>
      <color theme="0"/>
      <name val="Candara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b/>
      <u/>
      <sz val="11"/>
      <name val="Candara"/>
      <family val="2"/>
    </font>
    <font>
      <sz val="11"/>
      <name val="Calibri"/>
      <family val="2"/>
      <scheme val="minor"/>
    </font>
    <font>
      <i/>
      <sz val="10.5"/>
      <name val="Candara"/>
      <family val="2"/>
    </font>
    <font>
      <sz val="11"/>
      <color theme="3" tint="-0.249977111117893"/>
      <name val="Candara"/>
      <family val="2"/>
    </font>
    <font>
      <b/>
      <sz val="11"/>
      <color theme="3" tint="-0.249977111117893"/>
      <name val="Candara"/>
      <family val="2"/>
    </font>
    <font>
      <sz val="11"/>
      <color theme="3" tint="-0.249977111117893"/>
      <name val="Calibri"/>
      <family val="2"/>
      <scheme val="minor"/>
    </font>
    <font>
      <sz val="11.5"/>
      <color theme="1"/>
      <name val="Candara"/>
      <family val="2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sz val="12"/>
      <color theme="1"/>
      <name val="Candara"/>
      <family val="2"/>
    </font>
    <font>
      <i/>
      <sz val="11"/>
      <color theme="3" tint="-0.249977111117893"/>
      <name val="Candara"/>
      <family val="2"/>
    </font>
    <font>
      <i/>
      <u/>
      <sz val="11"/>
      <color theme="3" tint="-0.249977111117893"/>
      <name val="Candara"/>
      <family val="2"/>
    </font>
    <font>
      <b/>
      <u/>
      <sz val="11"/>
      <color theme="1"/>
      <name val="Candara"/>
      <family val="2"/>
    </font>
    <font>
      <sz val="11"/>
      <color rgb="FFFF0000"/>
      <name val="Candara"/>
      <family val="2"/>
    </font>
    <font>
      <sz val="11"/>
      <color theme="0"/>
      <name val="Calibri"/>
      <family val="2"/>
      <scheme val="minor"/>
    </font>
    <font>
      <b/>
      <sz val="10"/>
      <color theme="1"/>
      <name val="Candara"/>
      <family val="2"/>
    </font>
    <font>
      <b/>
      <sz val="11"/>
      <color theme="1"/>
      <name val="Calibri"/>
      <family val="2"/>
      <charset val="238"/>
      <scheme val="minor"/>
    </font>
    <font>
      <sz val="11"/>
      <color rgb="FF222B35"/>
      <name val="Candara"/>
      <family val="2"/>
    </font>
    <font>
      <i/>
      <sz val="8"/>
      <color theme="1"/>
      <name val="Candara"/>
      <family val="2"/>
    </font>
    <font>
      <b/>
      <sz val="10.5"/>
      <color theme="3" tint="-0.499984740745262"/>
      <name val="Candara"/>
      <family val="2"/>
    </font>
    <font>
      <sz val="10.5"/>
      <color theme="3" tint="-0.499984740745262"/>
      <name val="Candara"/>
      <family val="2"/>
    </font>
    <font>
      <b/>
      <sz val="10.5"/>
      <color theme="0"/>
      <name val="Candara"/>
      <family val="2"/>
      <charset val="238"/>
    </font>
    <font>
      <b/>
      <sz val="10"/>
      <color theme="0"/>
      <name val="Candara"/>
      <family val="2"/>
    </font>
    <font>
      <b/>
      <sz val="12"/>
      <color theme="0"/>
      <name val="Candara"/>
      <family val="2"/>
    </font>
    <font>
      <b/>
      <i/>
      <sz val="9"/>
      <color theme="1"/>
      <name val="Verdana"/>
      <family val="2"/>
    </font>
    <font>
      <b/>
      <i/>
      <u/>
      <sz val="9"/>
      <color theme="1"/>
      <name val="Verdana"/>
      <family val="2"/>
    </font>
    <font>
      <b/>
      <i/>
      <u/>
      <sz val="9"/>
      <color rgb="FF000000"/>
      <name val="Verdana"/>
      <family val="2"/>
    </font>
    <font>
      <i/>
      <sz val="9"/>
      <color theme="3" tint="-0.499984740745262"/>
      <name val="Verdana"/>
      <family val="2"/>
    </font>
    <font>
      <b/>
      <i/>
      <sz val="9"/>
      <color theme="3" tint="-0.499984740745262"/>
      <name val="Verdana"/>
      <family val="2"/>
    </font>
    <font>
      <b/>
      <sz val="9"/>
      <name val="Verdana"/>
      <family val="2"/>
    </font>
    <font>
      <sz val="9"/>
      <color theme="3" tint="-0.499984740745262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ndara"/>
      <family val="2"/>
    </font>
    <font>
      <b/>
      <sz val="12"/>
      <name val="Candar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DCEE5"/>
        <bgColor indexed="64"/>
      </patternFill>
    </fill>
    <fill>
      <patternFill patternType="solid">
        <fgColor rgb="FF219EBC"/>
        <bgColor indexed="64"/>
      </patternFill>
    </fill>
    <fill>
      <patternFill patternType="solid">
        <fgColor rgb="FFEDF0F3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DashDot">
        <color theme="9" tint="-0.499984740745262"/>
      </left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 style="mediumDashDot">
        <color theme="9" tint="-0.499984740745262"/>
      </right>
      <top style="mediumDashDot">
        <color theme="9" tint="-0.499984740745262"/>
      </top>
      <bottom style="mediumDashDot">
        <color theme="9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2" fillId="5" borderId="3" applyNumberFormat="0" applyBorder="0" applyProtection="0">
      <alignment vertical="center"/>
    </xf>
  </cellStyleXfs>
  <cellXfs count="236">
    <xf numFmtId="0" fontId="0" fillId="0" borderId="0" xfId="0"/>
    <xf numFmtId="0" fontId="6" fillId="0" borderId="0" xfId="0" applyFont="1"/>
    <xf numFmtId="164" fontId="8" fillId="2" borderId="0" xfId="3" applyNumberFormat="1" applyFont="1" applyFill="1" applyAlignment="1">
      <alignment vertical="center"/>
    </xf>
    <xf numFmtId="164" fontId="8" fillId="2" borderId="0" xfId="3" applyNumberFormat="1" applyFont="1" applyFill="1" applyAlignment="1">
      <alignment vertical="top" wrapText="1"/>
    </xf>
    <xf numFmtId="164" fontId="8" fillId="2" borderId="0" xfId="0" applyNumberFormat="1" applyFont="1" applyFill="1"/>
    <xf numFmtId="164" fontId="9" fillId="2" borderId="0" xfId="4" applyNumberFormat="1" applyFont="1" applyFill="1" applyAlignment="1">
      <alignment vertical="center"/>
    </xf>
    <xf numFmtId="3" fontId="9" fillId="2" borderId="0" xfId="0" applyNumberFormat="1" applyFont="1" applyFill="1"/>
    <xf numFmtId="0" fontId="9" fillId="2" borderId="0" xfId="0" applyFont="1" applyFill="1"/>
    <xf numFmtId="165" fontId="9" fillId="2" borderId="0" xfId="1" applyNumberFormat="1" applyFont="1" applyFill="1"/>
    <xf numFmtId="164" fontId="10" fillId="2" borderId="1" xfId="3" applyNumberFormat="1" applyFont="1" applyFill="1" applyBorder="1" applyAlignment="1">
      <alignment vertical="center"/>
    </xf>
    <xf numFmtId="164" fontId="9" fillId="2" borderId="0" xfId="3" applyNumberFormat="1" applyFont="1" applyFill="1" applyAlignment="1">
      <alignment wrapText="1"/>
    </xf>
    <xf numFmtId="9" fontId="9" fillId="2" borderId="0" xfId="2" applyFont="1" applyFill="1"/>
    <xf numFmtId="164" fontId="9" fillId="2" borderId="0" xfId="3" applyNumberFormat="1" applyFont="1" applyFill="1" applyAlignment="1">
      <alignment vertical="center"/>
    </xf>
    <xf numFmtId="3" fontId="10" fillId="2" borderId="1" xfId="0" applyNumberFormat="1" applyFont="1" applyFill="1" applyBorder="1"/>
    <xf numFmtId="9" fontId="9" fillId="2" borderId="1" xfId="2" applyFont="1" applyFill="1" applyBorder="1"/>
    <xf numFmtId="164" fontId="9" fillId="2" borderId="0" xfId="3" applyNumberFormat="1" applyFont="1" applyFill="1" applyAlignment="1">
      <alignment vertical="top" wrapText="1"/>
    </xf>
    <xf numFmtId="3" fontId="9" fillId="2" borderId="0" xfId="0" applyNumberFormat="1" applyFont="1" applyFill="1" applyAlignment="1">
      <alignment vertical="center"/>
    </xf>
    <xf numFmtId="3" fontId="11" fillId="2" borderId="0" xfId="0" applyNumberFormat="1" applyFont="1" applyFill="1"/>
    <xf numFmtId="0" fontId="12" fillId="0" borderId="0" xfId="0" applyFont="1"/>
    <xf numFmtId="164" fontId="13" fillId="2" borderId="1" xfId="3" applyNumberFormat="1" applyFont="1" applyFill="1" applyBorder="1" applyAlignment="1">
      <alignment vertical="center"/>
    </xf>
    <xf numFmtId="3" fontId="13" fillId="2" borderId="1" xfId="0" applyNumberFormat="1" applyFont="1" applyFill="1" applyBorder="1"/>
    <xf numFmtId="0" fontId="9" fillId="0" borderId="0" xfId="0" applyFont="1"/>
    <xf numFmtId="164" fontId="11" fillId="2" borderId="0" xfId="3" applyNumberFormat="1" applyFont="1" applyFill="1" applyAlignment="1">
      <alignment vertical="center"/>
    </xf>
    <xf numFmtId="164" fontId="14" fillId="2" borderId="1" xfId="3" applyNumberFormat="1" applyFont="1" applyFill="1" applyBorder="1" applyAlignment="1">
      <alignment vertical="center"/>
    </xf>
    <xf numFmtId="0" fontId="15" fillId="0" borderId="0" xfId="0" applyFont="1"/>
    <xf numFmtId="164" fontId="13" fillId="2" borderId="2" xfId="3" applyNumberFormat="1" applyFont="1" applyFill="1" applyBorder="1" applyAlignment="1">
      <alignment vertical="center"/>
    </xf>
    <xf numFmtId="165" fontId="13" fillId="2" borderId="2" xfId="1" applyNumberFormat="1" applyFont="1" applyFill="1" applyBorder="1" applyAlignment="1">
      <alignment horizontal="right"/>
    </xf>
    <xf numFmtId="9" fontId="12" fillId="2" borderId="2" xfId="2" applyFont="1" applyFill="1" applyBorder="1"/>
    <xf numFmtId="9" fontId="13" fillId="2" borderId="1" xfId="2" applyFont="1" applyFill="1" applyBorder="1" applyAlignment="1">
      <alignment vertical="center"/>
    </xf>
    <xf numFmtId="9" fontId="13" fillId="2" borderId="1" xfId="2" applyFont="1" applyFill="1" applyBorder="1"/>
    <xf numFmtId="164" fontId="16" fillId="4" borderId="1" xfId="3" applyNumberFormat="1" applyFont="1" applyFill="1" applyBorder="1" applyAlignment="1">
      <alignment vertical="center"/>
    </xf>
    <xf numFmtId="3" fontId="18" fillId="4" borderId="0" xfId="0" applyNumberFormat="1" applyFont="1" applyFill="1"/>
    <xf numFmtId="0" fontId="17" fillId="0" borderId="0" xfId="0" applyFont="1"/>
    <xf numFmtId="3" fontId="6" fillId="0" borderId="0" xfId="0" applyNumberFormat="1" applyFont="1"/>
    <xf numFmtId="164" fontId="10" fillId="2" borderId="0" xfId="3" applyNumberFormat="1" applyFont="1" applyFill="1" applyAlignment="1">
      <alignment vertical="center"/>
    </xf>
    <xf numFmtId="10" fontId="9" fillId="2" borderId="0" xfId="2" applyNumberFormat="1" applyFont="1" applyFill="1" applyAlignment="1">
      <alignment horizontal="right" wrapText="1"/>
    </xf>
    <xf numFmtId="166" fontId="9" fillId="2" borderId="0" xfId="3" applyNumberFormat="1" applyFont="1" applyFill="1" applyAlignment="1">
      <alignment horizontal="right" wrapText="1"/>
    </xf>
    <xf numFmtId="9" fontId="9" fillId="2" borderId="0" xfId="2" applyFont="1" applyFill="1" applyAlignment="1">
      <alignment horizontal="right" wrapText="1"/>
    </xf>
    <xf numFmtId="164" fontId="9" fillId="2" borderId="0" xfId="3" applyNumberFormat="1" applyFont="1" applyFill="1" applyAlignment="1">
      <alignment horizontal="right" wrapText="1"/>
    </xf>
    <xf numFmtId="167" fontId="9" fillId="2" borderId="0" xfId="3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4" fontId="9" fillId="2" borderId="1" xfId="3" applyNumberFormat="1" applyFont="1" applyFill="1" applyBorder="1" applyAlignment="1">
      <alignment wrapText="1"/>
    </xf>
    <xf numFmtId="0" fontId="3" fillId="0" borderId="0" xfId="0" applyFont="1"/>
    <xf numFmtId="0" fontId="3" fillId="6" borderId="0" xfId="0" applyFont="1" applyFill="1"/>
    <xf numFmtId="0" fontId="3" fillId="8" borderId="0" xfId="0" applyFont="1" applyFill="1"/>
    <xf numFmtId="0" fontId="3" fillId="7" borderId="0" xfId="0" applyFont="1" applyFill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7" fontId="3" fillId="0" borderId="0" xfId="0" applyNumberFormat="1" applyFont="1" applyAlignment="1">
      <alignment horizontal="center"/>
    </xf>
    <xf numFmtId="165" fontId="2" fillId="2" borderId="0" xfId="1" applyNumberFormat="1" applyFont="1" applyFill="1"/>
    <xf numFmtId="3" fontId="9" fillId="2" borderId="1" xfId="0" applyNumberFormat="1" applyFont="1" applyFill="1" applyBorder="1"/>
    <xf numFmtId="3" fontId="10" fillId="2" borderId="2" xfId="0" applyNumberFormat="1" applyFont="1" applyFill="1" applyBorder="1"/>
    <xf numFmtId="0" fontId="36" fillId="0" borderId="0" xfId="0" applyFont="1"/>
    <xf numFmtId="0" fontId="1" fillId="0" borderId="0" xfId="0" applyFont="1"/>
    <xf numFmtId="0" fontId="1" fillId="6" borderId="0" xfId="0" applyFont="1" applyFill="1"/>
    <xf numFmtId="167" fontId="3" fillId="0" borderId="0" xfId="0" applyNumberFormat="1" applyFont="1"/>
    <xf numFmtId="0" fontId="1" fillId="8" borderId="0" xfId="0" applyFont="1" applyFill="1" applyAlignment="1">
      <alignment horizontal="left"/>
    </xf>
    <xf numFmtId="10" fontId="8" fillId="2" borderId="0" xfId="2" applyNumberFormat="1" applyFont="1" applyFill="1"/>
    <xf numFmtId="3" fontId="8" fillId="2" borderId="0" xfId="0" applyNumberFormat="1" applyFont="1" applyFill="1"/>
    <xf numFmtId="0" fontId="13" fillId="0" borderId="0" xfId="0" applyFont="1"/>
    <xf numFmtId="164" fontId="10" fillId="2" borderId="0" xfId="3" applyNumberFormat="1" applyFont="1" applyFill="1" applyAlignment="1">
      <alignment wrapText="1"/>
    </xf>
    <xf numFmtId="9" fontId="10" fillId="2" borderId="0" xfId="2" applyFont="1" applyFill="1"/>
    <xf numFmtId="10" fontId="13" fillId="0" borderId="0" xfId="2" applyNumberFormat="1" applyFont="1"/>
    <xf numFmtId="10" fontId="13" fillId="2" borderId="0" xfId="2" applyNumberFormat="1" applyFont="1" applyFill="1"/>
    <xf numFmtId="43" fontId="3" fillId="0" borderId="0" xfId="1" applyFont="1"/>
    <xf numFmtId="167" fontId="1" fillId="8" borderId="0" xfId="0" applyNumberFormat="1" applyFont="1" applyFill="1" applyAlignment="1">
      <alignment horizontal="left"/>
    </xf>
    <xf numFmtId="0" fontId="3" fillId="8" borderId="0" xfId="0" applyFont="1" applyFill="1" applyAlignment="1">
      <alignment horizontal="center"/>
    </xf>
    <xf numFmtId="167" fontId="3" fillId="8" borderId="0" xfId="0" applyNumberFormat="1" applyFont="1" applyFill="1"/>
    <xf numFmtId="9" fontId="3" fillId="0" borderId="0" xfId="2" applyFont="1"/>
    <xf numFmtId="167" fontId="1" fillId="0" borderId="0" xfId="1" applyNumberFormat="1" applyFont="1"/>
    <xf numFmtId="167" fontId="1" fillId="0" borderId="0" xfId="0" applyNumberFormat="1" applyFont="1"/>
    <xf numFmtId="167" fontId="9" fillId="0" borderId="0" xfId="1" applyNumberFormat="1" applyFont="1"/>
    <xf numFmtId="9" fontId="9" fillId="0" borderId="0" xfId="2" applyFont="1"/>
    <xf numFmtId="164" fontId="6" fillId="0" borderId="0" xfId="0" applyNumberFormat="1" applyFont="1"/>
    <xf numFmtId="164" fontId="13" fillId="2" borderId="0" xfId="3" applyNumberFormat="1" applyFont="1" applyFill="1" applyAlignment="1">
      <alignment vertical="center"/>
    </xf>
    <xf numFmtId="3" fontId="10" fillId="2" borderId="0" xfId="0" applyNumberFormat="1" applyFont="1" applyFill="1"/>
    <xf numFmtId="165" fontId="13" fillId="2" borderId="0" xfId="1" applyNumberFormat="1" applyFont="1" applyFill="1" applyBorder="1" applyAlignment="1">
      <alignment horizontal="right"/>
    </xf>
    <xf numFmtId="9" fontId="12" fillId="2" borderId="0" xfId="2" applyFont="1" applyFill="1" applyBorder="1"/>
    <xf numFmtId="9" fontId="42" fillId="0" borderId="0" xfId="2" applyFont="1"/>
    <xf numFmtId="9" fontId="43" fillId="0" borderId="0" xfId="2" applyFont="1"/>
    <xf numFmtId="0" fontId="35" fillId="0" borderId="0" xfId="0" applyFont="1"/>
    <xf numFmtId="3" fontId="1" fillId="0" borderId="0" xfId="0" applyNumberFormat="1" applyFont="1"/>
    <xf numFmtId="9" fontId="1" fillId="0" borderId="0" xfId="2" applyFont="1"/>
    <xf numFmtId="167" fontId="6" fillId="0" borderId="0" xfId="1" applyNumberFormat="1" applyFont="1"/>
    <xf numFmtId="164" fontId="8" fillId="2" borderId="0" xfId="3" applyNumberFormat="1" applyFont="1" applyFill="1" applyAlignment="1">
      <alignment wrapText="1"/>
    </xf>
    <xf numFmtId="164" fontId="8" fillId="2" borderId="5" xfId="3" applyNumberFormat="1" applyFont="1" applyFill="1" applyBorder="1" applyAlignment="1">
      <alignment vertical="center"/>
    </xf>
    <xf numFmtId="9" fontId="8" fillId="2" borderId="0" xfId="2" applyFont="1" applyFill="1" applyAlignment="1">
      <alignment horizontal="center" vertical="center"/>
    </xf>
    <xf numFmtId="3" fontId="10" fillId="10" borderId="0" xfId="0" applyNumberFormat="1" applyFont="1" applyFill="1"/>
    <xf numFmtId="3" fontId="10" fillId="10" borderId="1" xfId="0" applyNumberFormat="1" applyFont="1" applyFill="1" applyBorder="1"/>
    <xf numFmtId="10" fontId="10" fillId="10" borderId="0" xfId="2" applyNumberFormat="1" applyFont="1" applyFill="1"/>
    <xf numFmtId="9" fontId="10" fillId="10" borderId="1" xfId="2" applyFont="1" applyFill="1" applyBorder="1"/>
    <xf numFmtId="10" fontId="9" fillId="10" borderId="0" xfId="2" applyNumberFormat="1" applyFont="1" applyFill="1"/>
    <xf numFmtId="3" fontId="9" fillId="10" borderId="0" xfId="0" applyNumberFormat="1" applyFont="1" applyFill="1"/>
    <xf numFmtId="0" fontId="3" fillId="12" borderId="0" xfId="0" applyFont="1" applyFill="1"/>
    <xf numFmtId="0" fontId="24" fillId="12" borderId="0" xfId="0" applyFont="1" applyFill="1"/>
    <xf numFmtId="0" fontId="38" fillId="12" borderId="0" xfId="0" applyFont="1" applyFill="1"/>
    <xf numFmtId="0" fontId="1" fillId="3" borderId="0" xfId="0" applyFont="1" applyFill="1" applyAlignment="1">
      <alignment vertical="center"/>
    </xf>
    <xf numFmtId="164" fontId="19" fillId="11" borderId="7" xfId="3" applyNumberFormat="1" applyFont="1" applyFill="1" applyBorder="1" applyAlignment="1">
      <alignment vertical="center" wrapText="1"/>
    </xf>
    <xf numFmtId="0" fontId="19" fillId="11" borderId="7" xfId="0" applyFont="1" applyFill="1" applyBorder="1" applyAlignment="1">
      <alignment horizontal="center" vertical="center" wrapText="1"/>
    </xf>
    <xf numFmtId="10" fontId="19" fillId="11" borderId="7" xfId="2" applyNumberFormat="1" applyFont="1" applyFill="1" applyBorder="1" applyAlignment="1">
      <alignment horizontal="center" vertical="center" wrapText="1"/>
    </xf>
    <xf numFmtId="164" fontId="7" fillId="2" borderId="7" xfId="3" applyNumberFormat="1" applyFont="1" applyFill="1" applyBorder="1" applyAlignment="1">
      <alignment vertical="center"/>
    </xf>
    <xf numFmtId="3" fontId="7" fillId="2" borderId="7" xfId="0" applyNumberFormat="1" applyFont="1" applyFill="1" applyBorder="1"/>
    <xf numFmtId="10" fontId="7" fillId="2" borderId="7" xfId="2" applyNumberFormat="1" applyFont="1" applyFill="1" applyBorder="1"/>
    <xf numFmtId="10" fontId="8" fillId="2" borderId="7" xfId="2" applyNumberFormat="1" applyFont="1" applyFill="1" applyBorder="1"/>
    <xf numFmtId="0" fontId="45" fillId="0" borderId="0" xfId="0" applyFont="1" applyAlignment="1">
      <alignment horizontal="center" vertical="center" wrapText="1"/>
    </xf>
    <xf numFmtId="0" fontId="25" fillId="14" borderId="0" xfId="0" applyFont="1" applyFill="1" applyAlignment="1">
      <alignment vertical="center"/>
    </xf>
    <xf numFmtId="0" fontId="0" fillId="14" borderId="0" xfId="0" applyFill="1"/>
    <xf numFmtId="0" fontId="20" fillId="14" borderId="0" xfId="0" applyFont="1" applyFill="1" applyAlignment="1">
      <alignment vertical="center"/>
    </xf>
    <xf numFmtId="0" fontId="26" fillId="14" borderId="0" xfId="0" applyFont="1" applyFill="1" applyAlignment="1">
      <alignment horizontal="justify" vertical="center"/>
    </xf>
    <xf numFmtId="0" fontId="27" fillId="14" borderId="0" xfId="0" applyFont="1" applyFill="1"/>
    <xf numFmtId="0" fontId="12" fillId="14" borderId="0" xfId="0" applyFont="1" applyFill="1"/>
    <xf numFmtId="0" fontId="6" fillId="14" borderId="0" xfId="0" applyFont="1" applyFill="1"/>
    <xf numFmtId="0" fontId="28" fillId="14" borderId="0" xfId="5" applyFont="1" applyFill="1" applyAlignment="1"/>
    <xf numFmtId="0" fontId="0" fillId="15" borderId="0" xfId="0" applyFill="1"/>
    <xf numFmtId="0" fontId="9" fillId="15" borderId="0" xfId="0" applyFont="1" applyFill="1" applyAlignment="1">
      <alignment horizontal="left" vertical="top" wrapText="1"/>
    </xf>
    <xf numFmtId="0" fontId="9" fillId="15" borderId="0" xfId="0" applyFont="1" applyFill="1" applyAlignment="1">
      <alignment vertical="top" wrapText="1"/>
    </xf>
    <xf numFmtId="0" fontId="32" fillId="15" borderId="0" xfId="0" applyFont="1" applyFill="1" applyAlignment="1">
      <alignment vertical="top" wrapText="1"/>
    </xf>
    <xf numFmtId="0" fontId="10" fillId="15" borderId="0" xfId="0" applyFont="1" applyFill="1" applyAlignment="1">
      <alignment vertical="top" wrapText="1"/>
    </xf>
    <xf numFmtId="0" fontId="33" fillId="15" borderId="0" xfId="0" applyFont="1" applyFill="1" applyAlignment="1">
      <alignment vertical="top" wrapText="1"/>
    </xf>
    <xf numFmtId="0" fontId="31" fillId="15" borderId="0" xfId="0" applyFont="1" applyFill="1"/>
    <xf numFmtId="0" fontId="30" fillId="15" borderId="0" xfId="0" applyFont="1" applyFill="1"/>
    <xf numFmtId="0" fontId="34" fillId="15" borderId="0" xfId="0" applyFont="1" applyFill="1"/>
    <xf numFmtId="0" fontId="39" fillId="15" borderId="0" xfId="0" applyFont="1" applyFill="1"/>
    <xf numFmtId="164" fontId="9" fillId="10" borderId="0" xfId="3" applyNumberFormat="1" applyFont="1" applyFill="1" applyAlignment="1">
      <alignment wrapText="1"/>
    </xf>
    <xf numFmtId="164" fontId="1" fillId="0" borderId="0" xfId="0" applyNumberFormat="1" applyFont="1"/>
    <xf numFmtId="164" fontId="9" fillId="10" borderId="0" xfId="3" applyNumberFormat="1" applyFont="1" applyFill="1" applyAlignment="1">
      <alignment vertical="center"/>
    </xf>
    <xf numFmtId="3" fontId="10" fillId="2" borderId="7" xfId="0" applyNumberFormat="1" applyFont="1" applyFill="1" applyBorder="1"/>
    <xf numFmtId="9" fontId="10" fillId="2" borderId="7" xfId="2" applyFont="1" applyFill="1" applyBorder="1"/>
    <xf numFmtId="3" fontId="9" fillId="10" borderId="0" xfId="0" applyNumberFormat="1" applyFont="1" applyFill="1" applyAlignment="1">
      <alignment vertical="center"/>
    </xf>
    <xf numFmtId="164" fontId="12" fillId="2" borderId="0" xfId="3" applyNumberFormat="1" applyFont="1" applyFill="1" applyAlignment="1">
      <alignment vertical="center"/>
    </xf>
    <xf numFmtId="10" fontId="12" fillId="0" borderId="0" xfId="2" applyNumberFormat="1" applyFont="1"/>
    <xf numFmtId="10" fontId="12" fillId="2" borderId="0" xfId="2" applyNumberFormat="1" applyFont="1" applyFill="1"/>
    <xf numFmtId="168" fontId="1" fillId="0" borderId="0" xfId="0" applyNumberFormat="1" applyFont="1"/>
    <xf numFmtId="164" fontId="16" fillId="9" borderId="7" xfId="3" applyNumberFormat="1" applyFont="1" applyFill="1" applyBorder="1" applyAlignment="1">
      <alignment vertical="center"/>
    </xf>
    <xf numFmtId="0" fontId="16" fillId="9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10" fillId="2" borderId="7" xfId="3" applyNumberFormat="1" applyFont="1" applyFill="1" applyBorder="1" applyAlignment="1">
      <alignment vertical="center"/>
    </xf>
    <xf numFmtId="164" fontId="10" fillId="2" borderId="7" xfId="3" applyNumberFormat="1" applyFont="1" applyFill="1" applyBorder="1" applyAlignment="1">
      <alignment wrapText="1"/>
    </xf>
    <xf numFmtId="164" fontId="10" fillId="10" borderId="7" xfId="3" applyNumberFormat="1" applyFont="1" applyFill="1" applyBorder="1" applyAlignment="1">
      <alignment wrapText="1"/>
    </xf>
    <xf numFmtId="0" fontId="4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9" fontId="1" fillId="0" borderId="0" xfId="1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3" fontId="47" fillId="0" borderId="0" xfId="0" applyNumberFormat="1" applyFont="1"/>
    <xf numFmtId="167" fontId="6" fillId="0" borderId="0" xfId="0" applyNumberFormat="1" applyFont="1"/>
    <xf numFmtId="170" fontId="6" fillId="0" borderId="0" xfId="0" applyNumberFormat="1" applyFont="1"/>
    <xf numFmtId="0" fontId="1" fillId="12" borderId="0" xfId="0" applyFont="1" applyFill="1" applyAlignment="1">
      <alignment vertical="center"/>
    </xf>
    <xf numFmtId="3" fontId="9" fillId="12" borderId="0" xfId="0" applyNumberFormat="1" applyFont="1" applyFill="1"/>
    <xf numFmtId="164" fontId="11" fillId="12" borderId="0" xfId="3" applyNumberFormat="1" applyFont="1" applyFill="1" applyAlignment="1">
      <alignment vertical="center"/>
    </xf>
    <xf numFmtId="9" fontId="9" fillId="12" borderId="0" xfId="2" applyFont="1" applyFill="1"/>
    <xf numFmtId="0" fontId="24" fillId="2" borderId="0" xfId="0" applyFont="1" applyFill="1"/>
    <xf numFmtId="164" fontId="9" fillId="2" borderId="0" xfId="0" applyNumberFormat="1" applyFont="1" applyFill="1"/>
    <xf numFmtId="3" fontId="48" fillId="0" borderId="0" xfId="0" applyNumberFormat="1" applyFont="1"/>
    <xf numFmtId="3" fontId="7" fillId="12" borderId="0" xfId="0" applyNumberFormat="1" applyFont="1" applyFill="1"/>
    <xf numFmtId="3" fontId="48" fillId="2" borderId="0" xfId="0" applyNumberFormat="1" applyFont="1" applyFill="1"/>
    <xf numFmtId="3" fontId="49" fillId="0" borderId="0" xfId="0" applyNumberFormat="1" applyFont="1"/>
    <xf numFmtId="3" fontId="8" fillId="12" borderId="0" xfId="0" applyNumberFormat="1" applyFont="1" applyFill="1"/>
    <xf numFmtId="3" fontId="31" fillId="2" borderId="0" xfId="0" applyNumberFormat="1" applyFont="1" applyFill="1"/>
    <xf numFmtId="3" fontId="31" fillId="12" borderId="0" xfId="0" applyNumberFormat="1" applyFont="1" applyFill="1"/>
    <xf numFmtId="3" fontId="31" fillId="2" borderId="0" xfId="0" applyNumberFormat="1" applyFont="1" applyFill="1" applyAlignment="1">
      <alignment vertical="center"/>
    </xf>
    <xf numFmtId="3" fontId="31" fillId="12" borderId="0" xfId="0" applyNumberFormat="1" applyFont="1" applyFill="1" applyAlignment="1">
      <alignment vertical="center"/>
    </xf>
    <xf numFmtId="3" fontId="11" fillId="12" borderId="0" xfId="0" applyNumberFormat="1" applyFont="1" applyFill="1"/>
    <xf numFmtId="171" fontId="6" fillId="0" borderId="0" xfId="0" applyNumberFormat="1" applyFont="1"/>
    <xf numFmtId="164" fontId="7" fillId="2" borderId="0" xfId="3" applyNumberFormat="1" applyFont="1" applyFill="1" applyAlignment="1">
      <alignment vertical="center"/>
    </xf>
    <xf numFmtId="164" fontId="7" fillId="16" borderId="0" xfId="3" applyNumberFormat="1" applyFont="1" applyFill="1" applyAlignment="1">
      <alignment vertical="center"/>
    </xf>
    <xf numFmtId="164" fontId="7" fillId="16" borderId="5" xfId="3" applyNumberFormat="1" applyFont="1" applyFill="1" applyBorder="1" applyAlignment="1">
      <alignment vertical="center"/>
    </xf>
    <xf numFmtId="9" fontId="7" fillId="16" borderId="0" xfId="2" applyFont="1" applyFill="1" applyAlignment="1">
      <alignment horizontal="center" vertical="center"/>
    </xf>
    <xf numFmtId="164" fontId="8" fillId="12" borderId="0" xfId="3" applyNumberFormat="1" applyFont="1" applyFill="1" applyAlignment="1">
      <alignment wrapText="1"/>
    </xf>
    <xf numFmtId="10" fontId="8" fillId="12" borderId="0" xfId="2" applyNumberFormat="1" applyFont="1" applyFill="1"/>
    <xf numFmtId="164" fontId="8" fillId="12" borderId="5" xfId="3" applyNumberFormat="1" applyFont="1" applyFill="1" applyBorder="1" applyAlignment="1">
      <alignment vertical="center"/>
    </xf>
    <xf numFmtId="10" fontId="8" fillId="12" borderId="6" xfId="2" applyNumberFormat="1" applyFont="1" applyFill="1" applyBorder="1" applyAlignment="1">
      <alignment vertical="center"/>
    </xf>
    <xf numFmtId="164" fontId="7" fillId="12" borderId="0" xfId="3" applyNumberFormat="1" applyFont="1" applyFill="1" applyAlignment="1">
      <alignment wrapText="1"/>
    </xf>
    <xf numFmtId="3" fontId="8" fillId="12" borderId="5" xfId="0" applyNumberFormat="1" applyFont="1" applyFill="1" applyBorder="1"/>
    <xf numFmtId="164" fontId="50" fillId="17" borderId="1" xfId="3" applyNumberFormat="1" applyFont="1" applyFill="1" applyBorder="1" applyAlignment="1">
      <alignment horizontal="center" vertical="center" wrapText="1"/>
    </xf>
    <xf numFmtId="0" fontId="50" fillId="17" borderId="1" xfId="0" applyFont="1" applyFill="1" applyBorder="1" applyAlignment="1">
      <alignment horizontal="center" vertical="center" wrapText="1"/>
    </xf>
    <xf numFmtId="0" fontId="19" fillId="17" borderId="0" xfId="0" applyFont="1" applyFill="1"/>
    <xf numFmtId="0" fontId="19" fillId="17" borderId="4" xfId="0" applyFont="1" applyFill="1" applyBorder="1"/>
    <xf numFmtId="0" fontId="24" fillId="17" borderId="0" xfId="0" applyFont="1" applyFill="1"/>
    <xf numFmtId="0" fontId="24" fillId="17" borderId="0" xfId="0" applyFont="1" applyFill="1" applyAlignment="1">
      <alignment vertical="center"/>
    </xf>
    <xf numFmtId="164" fontId="10" fillId="17" borderId="1" xfId="3" applyNumberFormat="1" applyFont="1" applyFill="1" applyBorder="1" applyAlignment="1">
      <alignment vertical="center"/>
    </xf>
    <xf numFmtId="0" fontId="10" fillId="17" borderId="1" xfId="0" applyFont="1" applyFill="1" applyBorder="1" applyAlignment="1">
      <alignment horizontal="center" vertical="center"/>
    </xf>
    <xf numFmtId="164" fontId="16" fillId="17" borderId="1" xfId="3" applyNumberFormat="1" applyFont="1" applyFill="1" applyBorder="1" applyAlignment="1">
      <alignment vertical="center"/>
    </xf>
    <xf numFmtId="0" fontId="16" fillId="17" borderId="1" xfId="0" applyFont="1" applyFill="1" applyBorder="1" applyAlignment="1">
      <alignment horizontal="center" vertical="center"/>
    </xf>
    <xf numFmtId="164" fontId="9" fillId="17" borderId="0" xfId="3" applyNumberFormat="1" applyFont="1" applyFill="1" applyAlignment="1">
      <alignment wrapText="1"/>
    </xf>
    <xf numFmtId="0" fontId="17" fillId="17" borderId="0" xfId="0" applyFont="1" applyFill="1"/>
    <xf numFmtId="164" fontId="17" fillId="17" borderId="0" xfId="3" applyNumberFormat="1" applyFont="1" applyFill="1" applyAlignment="1">
      <alignment wrapText="1"/>
    </xf>
    <xf numFmtId="10" fontId="9" fillId="17" borderId="0" xfId="2" applyNumberFormat="1" applyFont="1" applyFill="1" applyAlignment="1">
      <alignment horizontal="right" wrapText="1"/>
    </xf>
    <xf numFmtId="166" fontId="9" fillId="17" borderId="0" xfId="3" applyNumberFormat="1" applyFont="1" applyFill="1" applyAlignment="1">
      <alignment horizontal="right" wrapText="1"/>
    </xf>
    <xf numFmtId="9" fontId="9" fillId="17" borderId="0" xfId="2" applyFont="1" applyFill="1" applyAlignment="1">
      <alignment horizontal="right" wrapText="1"/>
    </xf>
    <xf numFmtId="164" fontId="9" fillId="17" borderId="0" xfId="3" applyNumberFormat="1" applyFont="1" applyFill="1" applyAlignment="1">
      <alignment horizontal="right" wrapText="1"/>
    </xf>
    <xf numFmtId="0" fontId="16" fillId="17" borderId="0" xfId="0" applyFont="1" applyFill="1"/>
    <xf numFmtId="164" fontId="9" fillId="17" borderId="0" xfId="3" applyNumberFormat="1" applyFont="1" applyFill="1" applyAlignment="1">
      <alignment vertical="center"/>
    </xf>
    <xf numFmtId="164" fontId="10" fillId="17" borderId="0" xfId="3" applyNumberFormat="1" applyFont="1" applyFill="1" applyAlignment="1">
      <alignment vertical="center"/>
    </xf>
    <xf numFmtId="0" fontId="53" fillId="0" borderId="8" xfId="0" applyFont="1" applyBorder="1" applyAlignment="1">
      <alignment vertical="center" wrapText="1"/>
    </xf>
    <xf numFmtId="0" fontId="53" fillId="2" borderId="9" xfId="0" applyFont="1" applyFill="1" applyBorder="1" applyAlignment="1">
      <alignment vertical="center" wrapText="1"/>
    </xf>
    <xf numFmtId="14" fontId="54" fillId="0" borderId="10" xfId="0" applyNumberFormat="1" applyFont="1" applyBorder="1" applyAlignment="1">
      <alignment horizontal="center" vertical="center" wrapText="1"/>
    </xf>
    <xf numFmtId="14" fontId="55" fillId="0" borderId="11" xfId="0" applyNumberFormat="1" applyFont="1" applyBorder="1" applyAlignment="1">
      <alignment horizontal="center" vertical="center"/>
    </xf>
    <xf numFmtId="14" fontId="54" fillId="18" borderId="11" xfId="0" applyNumberFormat="1" applyFont="1" applyFill="1" applyBorder="1" applyAlignment="1">
      <alignment horizontal="center" vertical="center" wrapText="1"/>
    </xf>
    <xf numFmtId="0" fontId="56" fillId="0" borderId="8" xfId="0" applyFont="1" applyBorder="1" applyAlignment="1">
      <alignment vertical="center" wrapText="1"/>
    </xf>
    <xf numFmtId="0" fontId="57" fillId="2" borderId="9" xfId="0" applyFont="1" applyFill="1" applyBorder="1" applyAlignment="1">
      <alignment vertical="center" wrapText="1"/>
    </xf>
    <xf numFmtId="164" fontId="58" fillId="2" borderId="10" xfId="3" applyNumberFormat="1" applyFont="1" applyFill="1" applyBorder="1" applyAlignment="1">
      <alignment horizontal="right" vertical="center"/>
    </xf>
    <xf numFmtId="164" fontId="58" fillId="2" borderId="12" xfId="3" applyNumberFormat="1" applyFont="1" applyFill="1" applyBorder="1" applyAlignment="1">
      <alignment horizontal="right" vertical="center"/>
    </xf>
    <xf numFmtId="164" fontId="58" fillId="18" borderId="12" xfId="3" applyNumberFormat="1" applyFont="1" applyFill="1" applyBorder="1" applyAlignment="1">
      <alignment horizontal="right" vertical="center"/>
    </xf>
    <xf numFmtId="0" fontId="59" fillId="0" borderId="8" xfId="0" applyFont="1" applyBorder="1" applyAlignment="1">
      <alignment vertical="center" wrapText="1"/>
    </xf>
    <xf numFmtId="0" fontId="59" fillId="2" borderId="9" xfId="0" applyFont="1" applyFill="1" applyBorder="1" applyAlignment="1">
      <alignment vertical="center" wrapText="1"/>
    </xf>
    <xf numFmtId="0" fontId="56" fillId="2" borderId="9" xfId="0" applyFont="1" applyFill="1" applyBorder="1" applyAlignment="1">
      <alignment vertical="center" wrapText="1"/>
    </xf>
    <xf numFmtId="3" fontId="60" fillId="0" borderId="12" xfId="0" applyNumberFormat="1" applyFont="1" applyBorder="1" applyAlignment="1">
      <alignment horizontal="right" vertical="center"/>
    </xf>
    <xf numFmtId="3" fontId="60" fillId="18" borderId="12" xfId="0" applyNumberFormat="1" applyFont="1" applyFill="1" applyBorder="1" applyAlignment="1">
      <alignment horizontal="right" vertical="center"/>
    </xf>
    <xf numFmtId="3" fontId="1" fillId="2" borderId="0" xfId="0" applyNumberFormat="1" applyFont="1" applyFill="1"/>
    <xf numFmtId="0" fontId="61" fillId="2" borderId="0" xfId="0" applyFont="1" applyFill="1" applyAlignment="1">
      <alignment horizontal="center" vertical="center"/>
    </xf>
    <xf numFmtId="0" fontId="62" fillId="16" borderId="1" xfId="0" applyFont="1" applyFill="1" applyBorder="1" applyAlignment="1">
      <alignment horizontal="center" vertical="center"/>
    </xf>
    <xf numFmtId="0" fontId="61" fillId="2" borderId="0" xfId="0" applyFont="1" applyFill="1"/>
    <xf numFmtId="0" fontId="40" fillId="15" borderId="0" xfId="0" applyFont="1" applyFill="1" applyAlignment="1">
      <alignment horizontal="left" vertical="top" wrapText="1"/>
    </xf>
    <xf numFmtId="0" fontId="39" fillId="15" borderId="0" xfId="0" applyFont="1" applyFill="1" applyAlignment="1">
      <alignment horizontal="left" vertical="top" wrapText="1"/>
    </xf>
    <xf numFmtId="0" fontId="37" fillId="15" borderId="0" xfId="0" applyFont="1" applyFill="1" applyAlignment="1">
      <alignment horizontal="left"/>
    </xf>
    <xf numFmtId="0" fontId="23" fillId="14" borderId="0" xfId="0" applyFont="1" applyFill="1" applyAlignment="1">
      <alignment horizontal="left"/>
    </xf>
    <xf numFmtId="0" fontId="31" fillId="15" borderId="0" xfId="0" applyFont="1" applyFill="1" applyAlignment="1">
      <alignment horizontal="left" vertical="top" wrapText="1"/>
    </xf>
    <xf numFmtId="0" fontId="11" fillId="15" borderId="0" xfId="0" applyFont="1" applyFill="1" applyAlignment="1">
      <alignment horizontal="left" vertical="top" wrapText="1"/>
    </xf>
    <xf numFmtId="0" fontId="9" fillId="15" borderId="0" xfId="0" applyFont="1" applyFill="1" applyAlignment="1">
      <alignment horizontal="left" vertical="top" wrapText="1"/>
    </xf>
    <xf numFmtId="0" fontId="10" fillId="15" borderId="0" xfId="0" applyFont="1" applyFill="1" applyAlignment="1">
      <alignment horizontal="left" vertical="top" wrapText="1"/>
    </xf>
    <xf numFmtId="0" fontId="14" fillId="15" borderId="0" xfId="0" applyFont="1" applyFill="1" applyAlignment="1">
      <alignment horizontal="left" vertical="top" wrapText="1"/>
    </xf>
    <xf numFmtId="0" fontId="50" fillId="1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0" fontId="19" fillId="11" borderId="7" xfId="2" applyNumberFormat="1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left"/>
    </xf>
    <xf numFmtId="0" fontId="24" fillId="14" borderId="0" xfId="0" applyFont="1" applyFill="1" applyAlignment="1">
      <alignment horizontal="left"/>
    </xf>
    <xf numFmtId="0" fontId="16" fillId="17" borderId="0" xfId="0" applyFont="1" applyFill="1" applyAlignment="1">
      <alignment horizontal="left"/>
    </xf>
    <xf numFmtId="0" fontId="24" fillId="13" borderId="0" xfId="0" applyFont="1" applyFill="1" applyAlignment="1">
      <alignment horizontal="left"/>
    </xf>
    <xf numFmtId="0" fontId="44" fillId="13" borderId="0" xfId="0" applyFont="1" applyFill="1" applyAlignment="1">
      <alignment horizontal="left"/>
    </xf>
    <xf numFmtId="0" fontId="51" fillId="17" borderId="0" xfId="0" applyFont="1" applyFill="1" applyAlignment="1">
      <alignment horizontal="left"/>
    </xf>
    <xf numFmtId="0" fontId="52" fillId="17" borderId="0" xfId="0" applyFont="1" applyFill="1" applyAlignment="1">
      <alignment horizontal="center"/>
    </xf>
    <xf numFmtId="0" fontId="38" fillId="13" borderId="0" xfId="0" applyFont="1" applyFill="1" applyAlignment="1">
      <alignment horizontal="left"/>
    </xf>
    <xf numFmtId="0" fontId="52" fillId="17" borderId="0" xfId="0" applyFont="1" applyFill="1" applyAlignment="1">
      <alignment horizontal="left"/>
    </xf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28"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219EBC"/>
      <color rgb="FFF59F9D"/>
      <color rgb="FFC3DEB0"/>
      <color rgb="FFE92823"/>
      <color rgb="FFE8EBF0"/>
      <color rgb="FFE3E7ED"/>
      <color rgb="FFCCD3DE"/>
      <color rgb="FFFF3B0D"/>
      <color rgb="FFFF6D4B"/>
      <color rgb="FF8BC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Revenue</a:t>
            </a:r>
            <a:r>
              <a:rPr lang="en-GB" sz="1100" baseline="0">
                <a:solidFill>
                  <a:schemeClr val="bg1"/>
                </a:solidFill>
                <a:latin typeface="Candara" panose="020E0502030303020204" pitchFamily="34" charset="0"/>
              </a:rPr>
              <a:t> evolution</a:t>
            </a:r>
            <a:endParaRPr lang="en-GB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2.613340434669072E-3"/>
          <c:y val="3.2884439733607716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6.5016831099578313E-3"/>
          <c:w val="0.96834461831348051"/>
          <c:h val="0.84494112489723616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'2.Comprehensive income'!$C$3:$I$3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'2.Comprehensive income'!$C$4:$I$4</c:f>
              <c:numCache>
                <c:formatCode>_(* #,##0_);_(* \(#,##0\);_(* "-"_);_(@_)</c:formatCode>
                <c:ptCount val="7"/>
                <c:pt idx="0">
                  <c:v>183857279.62999997</c:v>
                </c:pt>
                <c:pt idx="1">
                  <c:v>181146471.98999998</c:v>
                </c:pt>
                <c:pt idx="2">
                  <c:v>264737647</c:v>
                </c:pt>
                <c:pt idx="3">
                  <c:v>262801054</c:v>
                </c:pt>
                <c:pt idx="4">
                  <c:v>214230854</c:v>
                </c:pt>
                <c:pt idx="5">
                  <c:v>225633834</c:v>
                </c:pt>
                <c:pt idx="6">
                  <c:v>194436269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0A4-842A-F57B55C6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  <c:min val="130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219EB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Structure of Non-current liabilities in 2025</c:v>
            </c:pt>
          </c:strCache>
        </c:strRef>
      </c:tx>
      <c:layout>
        <c:manualLayout>
          <c:xMode val="edge"/>
          <c:yMode val="edge"/>
          <c:x val="0.33794243822970405"/>
          <c:y val="2.8933086731294019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4406896551724137"/>
          <c:y val="0.23767695411295978"/>
          <c:w val="0.61276441306905594"/>
          <c:h val="0.58390234437739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hiddenPage!$Q$16</c:f>
                  <c:strCache>
                    <c:ptCount val="1"/>
                    <c:pt idx="0">
                      <c:v> 5,637,270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{6C8FAF42-FDDE-47E8-9A14-B4F3C641CF7E}</c15:txfldGUID>
                      <c15:f>hiddenPage!$Q$16</c15:f>
                      <c15:dlblFieldTableCache>
                        <c:ptCount val="1"/>
                        <c:pt idx="0">
                          <c:v> 5,637,270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C2-462E-9865-AECEF9265BA7}"/>
                </c:ext>
              </c:extLst>
            </c:dLbl>
            <c:dLbl>
              <c:idx val="1"/>
              <c:tx>
                <c:strRef>
                  <c:f>hiddenPage!$Q$17</c:f>
                  <c:strCache>
                    <c:ptCount val="1"/>
                    <c:pt idx="0">
                      <c:v> 4,959,969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{D07BC67C-0140-41E3-BC94-3BF5DFBC986F}</c15:txfldGUID>
                      <c15:f>hiddenPage!$Q$17</c15:f>
                      <c15:dlblFieldTableCache>
                        <c:ptCount val="1"/>
                        <c:pt idx="0">
                          <c:v> 4,959,969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C2-462E-9865-AECEF9265BA7}"/>
                </c:ext>
              </c:extLst>
            </c:dLbl>
            <c:dLbl>
              <c:idx val="2"/>
              <c:tx>
                <c:strRef>
                  <c:f>hiddenPage!$Q$18</c:f>
                  <c:strCache>
                    <c:ptCount val="1"/>
                    <c:pt idx="0">
                      <c:v> 4,898,837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{00B5F198-22F5-4193-BA26-94729D9046EC}</c15:txfldGUID>
                      <c15:f>hiddenPage!$Q$18</c15:f>
                      <c15:dlblFieldTableCache>
                        <c:ptCount val="1"/>
                        <c:pt idx="0">
                          <c:v> 4,898,837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C2-462E-9865-AECEF9265BA7}"/>
                </c:ext>
              </c:extLst>
            </c:dLbl>
            <c:dLbl>
              <c:idx val="3"/>
              <c:tx>
                <c:strRef>
                  <c:f>hiddenPage!$Q$19</c:f>
                  <c:strCache>
                    <c:ptCount val="1"/>
                    <c:pt idx="0">
                      <c:v> 985,000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{1B0ED177-04B6-4277-A4E4-48035B2F4F91}</c15:txfldGUID>
                      <c15:f>hiddenPage!$Q$19</c15:f>
                      <c15:dlblFieldTableCache>
                        <c:ptCount val="1"/>
                        <c:pt idx="0">
                          <c:v> 985,000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C2-462E-9865-AECEF9265BA7}"/>
                </c:ext>
              </c:extLst>
            </c:dLbl>
            <c:dLbl>
              <c:idx val="4"/>
              <c:tx>
                <c:strRef>
                  <c:f>hiddenPage!$Q$20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{1BE1D12A-0D5E-4A46-A902-DA4A9A36EF7B}</c15:txfldGUID>
                      <c15:f>hiddenPage!$Q$20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C2-462E-9865-AECEF9265BA7}"/>
                </c:ext>
              </c:extLst>
            </c:dLbl>
            <c:dLbl>
              <c:idx val="5"/>
              <c:tx>
                <c:strRef>
                  <c:f>hiddenPage!$Q$21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{B5A95531-21FF-40A0-B907-3B5381888195}</c15:txfldGUID>
                      <c15:f>hiddenPage!$Q$21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C2-462E-9865-AECEF9265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hiddenPage!$N$16:$N$21</c:f>
              <c:strCache>
                <c:ptCount val="4"/>
                <c:pt idx="0">
                  <c:v>Deferred tax liabilities</c:v>
                </c:pt>
                <c:pt idx="1">
                  <c:v>Other non-current financial liabilities</c:v>
                </c:pt>
                <c:pt idx="2">
                  <c:v>Other non-current non-financial liabilities</c:v>
                </c:pt>
                <c:pt idx="3">
                  <c:v>Other non – current provisions</c:v>
                </c:pt>
              </c:strCache>
            </c:strRef>
          </c:cat>
          <c:val>
            <c:numRef>
              <c:f>hiddenPage!$R$16:$R$21</c:f>
              <c:numCache>
                <c:formatCode>0%</c:formatCode>
                <c:ptCount val="6"/>
                <c:pt idx="0">
                  <c:v>0.34204502181775026</c:v>
                </c:pt>
                <c:pt idx="1">
                  <c:v>0.30094934335597989</c:v>
                </c:pt>
                <c:pt idx="2">
                  <c:v>0.29724011951646845</c:v>
                </c:pt>
                <c:pt idx="3">
                  <c:v>5.9765515309801377E-2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2-462E-9865-AECEF926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06901752"/>
        <c:axId val="506893224"/>
      </c:barChart>
      <c:catAx>
        <c:axId val="506901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893224"/>
        <c:crosses val="autoZero"/>
        <c:auto val="1"/>
        <c:lblAlgn val="ctr"/>
        <c:lblOffset val="100"/>
        <c:noMultiLvlLbl val="0"/>
      </c:catAx>
      <c:valAx>
        <c:axId val="50689322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901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610869214704E-2"/>
          <c:y val="0.12601159890994212"/>
          <c:w val="0.91308389130785295"/>
          <c:h val="0.75899893459721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Snapshots!$A$7</c:f>
              <c:strCache>
                <c:ptCount val="1"/>
                <c:pt idx="0">
                  <c:v>EBITDA Operational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Snapshots!$D$3:$H$3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Snapshots!$B$7:$H$7</c:f>
              <c:numCache>
                <c:formatCode>_(* #,##0_);_(* \(#,##0\);_(* "-"_);_(@_)</c:formatCode>
                <c:ptCount val="7"/>
                <c:pt idx="0">
                  <c:v>12318776.420000032</c:v>
                </c:pt>
                <c:pt idx="1">
                  <c:v>12374753.540000008</c:v>
                </c:pt>
                <c:pt idx="2">
                  <c:v>13987047.550000012</c:v>
                </c:pt>
                <c:pt idx="3">
                  <c:v>14036140.379999965</c:v>
                </c:pt>
                <c:pt idx="4">
                  <c:v>4873275.8999999762</c:v>
                </c:pt>
                <c:pt idx="5">
                  <c:v>579593.64999997616</c:v>
                </c:pt>
                <c:pt idx="6">
                  <c:v>5624071.7500000298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F-47BA-AF94-58E4BC4E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44"/>
        <c:axId val="1053619087"/>
        <c:axId val="1180443935"/>
      </c:barChart>
      <c:barChart>
        <c:barDir val="col"/>
        <c:grouping val="clustered"/>
        <c:varyColors val="0"/>
        <c:ser>
          <c:idx val="1"/>
          <c:order val="1"/>
          <c:tx>
            <c:strRef>
              <c:f>Snapshots!$A$9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Snapshots!$D$3:$H$3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Snapshots!$B$9:$H$9</c:f>
              <c:numCache>
                <c:formatCode>_(* #,##0_);_(* \(#,##0\);_(* "-"_);_(@_)</c:formatCode>
                <c:ptCount val="7"/>
                <c:pt idx="0">
                  <c:v>370097.9599999818</c:v>
                </c:pt>
                <c:pt idx="1">
                  <c:v>869105.43999996176</c:v>
                </c:pt>
                <c:pt idx="2">
                  <c:v>-1447458</c:v>
                </c:pt>
                <c:pt idx="3">
                  <c:v>51471690</c:v>
                </c:pt>
                <c:pt idx="4">
                  <c:v>3313809</c:v>
                </c:pt>
                <c:pt idx="5">
                  <c:v>-5992980</c:v>
                </c:pt>
                <c:pt idx="6">
                  <c:v>1776808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F-47BA-AF94-58E4BC4E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44"/>
        <c:axId val="1164413903"/>
        <c:axId val="1052069935"/>
      </c:barChart>
      <c:catAx>
        <c:axId val="10536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180443935"/>
        <c:crosses val="autoZero"/>
        <c:auto val="1"/>
        <c:lblAlgn val="ctr"/>
        <c:lblOffset val="100"/>
        <c:noMultiLvlLbl val="0"/>
      </c:catAx>
      <c:valAx>
        <c:axId val="118044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053619087"/>
        <c:crosses val="autoZero"/>
        <c:crossBetween val="between"/>
      </c:valAx>
      <c:valAx>
        <c:axId val="1052069935"/>
        <c:scaling>
          <c:orientation val="minMax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1164413903"/>
        <c:crosses val="max"/>
        <c:crossBetween val="between"/>
      </c:valAx>
      <c:catAx>
        <c:axId val="1164413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2069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55975327374997"/>
          <c:y val="3.1265867184154229E-2"/>
          <c:w val="0.41506896752444017"/>
          <c:h val="6.689877415512907E-2"/>
        </c:manualLayout>
      </c:layout>
      <c:overlay val="0"/>
      <c:spPr>
        <a:noFill/>
        <a:ln>
          <a:solidFill>
            <a:schemeClr val="tx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  <a:latin typeface="Candara" panose="020E0502030303020204" pitchFamily="34" charset="0"/>
              </a:rPr>
              <a:t>Evolution of the item "Net sales"</a:t>
            </a:r>
            <a:endParaRPr lang="ro-RO" sz="1100">
              <a:solidFill>
                <a:sysClr val="windowText" lastClr="000000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29054614111197696"/>
          <c:y val="0"/>
        </c:manualLayout>
      </c:layout>
      <c:overlay val="0"/>
      <c:spPr>
        <a:solidFill>
          <a:srgbClr val="219EBC"/>
        </a:solidFill>
        <a:ln>
          <a:solidFill>
            <a:schemeClr val="accent4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080256031511572E-2"/>
          <c:y val="0.27142420541182366"/>
          <c:w val="0.94583948793697681"/>
          <c:h val="0.62301717963609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Snapshots!$B$4:$H$4</c:f>
              <c:numCache>
                <c:formatCode>_(* #,##0_);_(* \(#,##0\);_(* "-"_);_(@_)</c:formatCode>
                <c:ptCount val="7"/>
                <c:pt idx="0">
                  <c:v>183857279.62999997</c:v>
                </c:pt>
                <c:pt idx="1">
                  <c:v>181146471.98999998</c:v>
                </c:pt>
                <c:pt idx="2">
                  <c:v>264737647</c:v>
                </c:pt>
                <c:pt idx="3">
                  <c:v>262801054</c:v>
                </c:pt>
                <c:pt idx="4">
                  <c:v>214230854</c:v>
                </c:pt>
                <c:pt idx="5">
                  <c:v>225633834</c:v>
                </c:pt>
                <c:pt idx="6">
                  <c:v>194436269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4-4D27-BCEC-B50849E37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27"/>
        <c:axId val="60763824"/>
        <c:axId val="59902576"/>
      </c:barChart>
      <c:catAx>
        <c:axId val="607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9902576"/>
        <c:crosses val="autoZero"/>
        <c:auto val="1"/>
        <c:lblAlgn val="ctr"/>
        <c:lblOffset val="100"/>
        <c:noMultiLvlLbl val="0"/>
      </c:catAx>
      <c:valAx>
        <c:axId val="59902576"/>
        <c:scaling>
          <c:orientation val="minMax"/>
          <c:min val="50000000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60763824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75000"/>
      </a:schemeClr>
    </a:solidFill>
    <a:ln w="9525" cap="flat" cmpd="sng" algn="ctr">
      <a:solidFill>
        <a:schemeClr val="accent6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strRef>
          <c:f>hiddenPage!$A$63</c:f>
          <c:strCache>
            <c:ptCount val="1"/>
            <c:pt idx="0">
              <c:v>Evolution of the sector "Regenerated polymers&amp;compounds"</c:v>
            </c:pt>
          </c:strCache>
        </c:strRef>
      </c:tx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182864793753661E-2"/>
          <c:y val="0.19539370078740156"/>
          <c:w val="0.94563427041249271"/>
          <c:h val="0.69720691163604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hiddenPage!$B$75:$H$75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hiddenPage!$B$76:$H$76</c:f>
              <c:numCache>
                <c:formatCode>#,##0</c:formatCode>
                <c:ptCount val="7"/>
                <c:pt idx="0">
                  <c:v>30961367.02</c:v>
                </c:pt>
                <c:pt idx="1">
                  <c:v>23154618.529999994</c:v>
                </c:pt>
                <c:pt idx="2">
                  <c:v>38271305.11999999</c:v>
                </c:pt>
                <c:pt idx="3">
                  <c:v>46502131.649999984</c:v>
                </c:pt>
                <c:pt idx="4">
                  <c:v>37905250.480000019</c:v>
                </c:pt>
                <c:pt idx="5">
                  <c:v>34424642.269999996</c:v>
                </c:pt>
                <c:pt idx="6">
                  <c:v>26256942.330000006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3-45DA-892E-0D6CCDAB2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07431983"/>
        <c:axId val="374026095"/>
      </c:barChart>
      <c:catAx>
        <c:axId val="10743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374026095"/>
        <c:crosses val="autoZero"/>
        <c:auto val="1"/>
        <c:lblAlgn val="ctr"/>
        <c:lblOffset val="100"/>
        <c:noMultiLvlLbl val="0"/>
      </c:catAx>
      <c:valAx>
        <c:axId val="374026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74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hiddenPage!$A$63</c:f>
          <c:strCache>
            <c:ptCount val="1"/>
            <c:pt idx="0">
              <c:v>Evolution of the sector "Regenerated polymers&amp;compounds"</c:v>
            </c:pt>
          </c:strCache>
        </c:strRef>
      </c:tx>
      <c:overlay val="0"/>
      <c:spPr>
        <a:solidFill>
          <a:schemeClr val="tx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182864793753661E-2"/>
          <c:y val="0.19539370078740156"/>
          <c:w val="0.94563427041249271"/>
          <c:h val="0.69720691163604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hiddenPage!$B$75:$H$75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hiddenPage!$B$76:$H$76</c:f>
              <c:numCache>
                <c:formatCode>#,##0</c:formatCode>
                <c:ptCount val="7"/>
                <c:pt idx="0">
                  <c:v>30961367.02</c:v>
                </c:pt>
                <c:pt idx="1">
                  <c:v>23154618.529999994</c:v>
                </c:pt>
                <c:pt idx="2">
                  <c:v>38271305.11999999</c:v>
                </c:pt>
                <c:pt idx="3">
                  <c:v>46502131.649999984</c:v>
                </c:pt>
                <c:pt idx="4">
                  <c:v>37905250.480000019</c:v>
                </c:pt>
                <c:pt idx="5">
                  <c:v>34424642.269999996</c:v>
                </c:pt>
                <c:pt idx="6">
                  <c:v>26256942.330000006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6-432E-89C8-1E415E7F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07431983"/>
        <c:axId val="374026095"/>
      </c:barChart>
      <c:catAx>
        <c:axId val="10743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374026095"/>
        <c:crosses val="autoZero"/>
        <c:auto val="1"/>
        <c:lblAlgn val="ctr"/>
        <c:lblOffset val="100"/>
        <c:noMultiLvlLbl val="0"/>
      </c:catAx>
      <c:valAx>
        <c:axId val="374026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74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Total non-current assets vs. Total current assets</c:v>
            </c:pt>
          </c:strCache>
        </c:strRef>
      </c:tx>
      <c:layout>
        <c:manualLayout>
          <c:xMode val="edge"/>
          <c:yMode val="edge"/>
          <c:x val="0.60005873942750176"/>
          <c:y val="1.4362797370776868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575814682984529"/>
          <c:y val="0.17720334879324831"/>
          <c:w val="0.811863079615048"/>
          <c:h val="0.60429651945936158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Total non-current assets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hiddenPage!$B$4:$H$4</c:f>
              <c:numCache>
                <c:formatCode>_-* #,##0_-;\-* #,##0_-;_-* "-"??_-;_-@_-</c:formatCode>
                <c:ptCount val="7"/>
                <c:pt idx="0">
                  <c:v>163480244.93000001</c:v>
                </c:pt>
                <c:pt idx="1">
                  <c:v>152917930.06</c:v>
                </c:pt>
                <c:pt idx="2">
                  <c:v>138364502</c:v>
                </c:pt>
                <c:pt idx="3">
                  <c:v>133313884</c:v>
                </c:pt>
                <c:pt idx="4">
                  <c:v>118936705</c:v>
                </c:pt>
                <c:pt idx="5">
                  <c:v>126388533</c:v>
                </c:pt>
                <c:pt idx="6">
                  <c:v>129078789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4B5-AFF6-41EB06D27B78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Total current assets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hiddenPage!$B$5:$H$5</c:f>
              <c:numCache>
                <c:formatCode>_-* #,##0_-;\-* #,##0_-;_-* "-"??_-;_-@_-</c:formatCode>
                <c:ptCount val="7"/>
                <c:pt idx="0">
                  <c:v>82714659.589999989</c:v>
                </c:pt>
                <c:pt idx="1">
                  <c:v>78436250.86999999</c:v>
                </c:pt>
                <c:pt idx="2">
                  <c:v>105658368</c:v>
                </c:pt>
                <c:pt idx="3">
                  <c:v>146753533</c:v>
                </c:pt>
                <c:pt idx="4">
                  <c:v>122197548</c:v>
                </c:pt>
                <c:pt idx="5">
                  <c:v>110595628</c:v>
                </c:pt>
                <c:pt idx="6">
                  <c:v>110162717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4B5-AFF6-41EB06D2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72048"/>
        <c:axId val="608969424"/>
      </c:lineChart>
      <c:catAx>
        <c:axId val="6089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69424"/>
        <c:crosses val="autoZero"/>
        <c:auto val="1"/>
        <c:lblAlgn val="ctr"/>
        <c:lblOffset val="100"/>
        <c:noMultiLvlLbl val="0"/>
      </c:catAx>
      <c:valAx>
        <c:axId val="60896942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49623012157207E-3"/>
          <c:y val="0.90972966142504075"/>
          <c:w val="0.99235037698784279"/>
          <c:h val="8.0790496371073689E-2"/>
        </c:manualLayout>
      </c:layout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Total non-current assets vs. Total current assets</c:v>
            </c:pt>
          </c:strCache>
        </c:strRef>
      </c:tx>
      <c:layout>
        <c:manualLayout>
          <c:xMode val="edge"/>
          <c:yMode val="edge"/>
          <c:x val="0.58147524900873404"/>
          <c:y val="1.388879988147983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026609737938493E-2"/>
          <c:y val="0.15712743896531589"/>
          <c:w val="0.97197339026206153"/>
          <c:h val="0.6222938553850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Total non-current assets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hiddenPage!$B$83</c:f>
                  <c:strCache>
                    <c:ptCount val="1"/>
                    <c:pt idx="0">
                      <c:v>66%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{56B2E5B8-1ED4-4751-8AEB-35A5790926B0}</c15:txfldGUID>
                      <c15:f>hiddenPage!$B$83</c15:f>
                      <c15:dlblFieldTableCache>
                        <c:ptCount val="1"/>
                        <c:pt idx="0">
                          <c:v>66%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169-4A57-89C2-A2C186F54A08}"/>
                </c:ext>
              </c:extLst>
            </c:dLbl>
            <c:dLbl>
              <c:idx val="1"/>
              <c:tx>
                <c:strRef>
                  <c:f>hiddenPage!$C$83</c:f>
                  <c:strCache>
                    <c:ptCount val="1"/>
                    <c:pt idx="0">
                      <c:v>66%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{8CC45E76-7A95-48DA-801D-E89213363CDC}</c15:txfldGUID>
                      <c15:f>hiddenPage!$C$83</c15:f>
                      <c15:dlblFieldTableCache>
                        <c:ptCount val="1"/>
                        <c:pt idx="0">
                          <c:v>66%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169-4A57-89C2-A2C186F54A08}"/>
                </c:ext>
              </c:extLst>
            </c:dLbl>
            <c:dLbl>
              <c:idx val="2"/>
              <c:tx>
                <c:strRef>
                  <c:f>hiddenPage!$D$83</c:f>
                  <c:strCache>
                    <c:ptCount val="1"/>
                    <c:pt idx="0">
                      <c:v>57%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{158FD86B-B90E-4672-9587-95301564F7EF}</c15:txfldGUID>
                      <c15:f>hiddenPage!$D$83</c15:f>
                      <c15:dlblFieldTableCache>
                        <c:ptCount val="1"/>
                        <c:pt idx="0">
                          <c:v>57%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53B-422F-8942-6A1FAFC54339}"/>
                </c:ext>
              </c:extLst>
            </c:dLbl>
            <c:dLbl>
              <c:idx val="3"/>
              <c:layout>
                <c:manualLayout>
                  <c:x val="0"/>
                  <c:y val="-9.2053766648050542E-3"/>
                </c:manualLayout>
              </c:layout>
              <c:tx>
                <c:strRef>
                  <c:f>hiddenPage!$E$83</c:f>
                  <c:strCache>
                    <c:ptCount val="1"/>
                    <c:pt idx="0">
                      <c:v>48%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{4CBA175D-5C59-4102-84F3-048B73984DC7}</c15:txfldGUID>
                      <c15:f>hiddenPage!$E$83</c15:f>
                      <c15:dlblFieldTableCache>
                        <c:ptCount val="1"/>
                        <c:pt idx="0">
                          <c:v>48%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53B-422F-8942-6A1FAFC54339}"/>
                </c:ext>
              </c:extLst>
            </c:dLbl>
            <c:dLbl>
              <c:idx val="4"/>
              <c:tx>
                <c:strRef>
                  <c:f>hiddenPage!$F$83</c:f>
                  <c:strCache>
                    <c:ptCount val="1"/>
                    <c:pt idx="0">
                      <c:v>49%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{D341BD34-2B5A-4F02-B61F-F0C1781C22E2}</c15:txfldGUID>
                      <c15:f>hiddenPage!$F$83</c15:f>
                      <c15:dlblFieldTableCache>
                        <c:ptCount val="1"/>
                        <c:pt idx="0">
                          <c:v>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53B-422F-8942-6A1FAFC54339}"/>
                </c:ext>
              </c:extLst>
            </c:dLbl>
            <c:dLbl>
              <c:idx val="5"/>
              <c:tx>
                <c:strRef>
                  <c:f>hiddenPage!$G$83</c:f>
                  <c:strCache>
                    <c:ptCount val="1"/>
                    <c:pt idx="0">
                      <c:v>53%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{3F34003F-9167-410D-9856-71701C3DD675}</c15:txfldGUID>
                      <c15:f>hiddenPage!$G$83</c15:f>
                      <c15:dlblFieldTableCache>
                        <c:ptCount val="1"/>
                        <c:pt idx="0">
                          <c:v>53%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767-495F-9079-D06147E7B4F2}"/>
                </c:ext>
              </c:extLst>
            </c:dLbl>
            <c:dLbl>
              <c:idx val="6"/>
              <c:tx>
                <c:strRef>
                  <c:f>hiddenPage!$H$83</c:f>
                  <c:strCache>
                    <c:ptCount val="1"/>
                    <c:pt idx="0">
                      <c:v>54%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{4AB8E506-FF17-481B-8E7A-373A10DB21F5}</c15:txfldGUID>
                      <c15:f>hiddenPage!$H$83</c15:f>
                      <c15:dlblFieldTableCache>
                        <c:ptCount val="1"/>
                        <c:pt idx="0">
                          <c:v>54%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767-495F-9079-D06147E7B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hiddenPage!$B$9:$H$9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hiddenPage!$B$10:$H$10</c:f>
              <c:numCache>
                <c:formatCode>_-* #,##0_-;\-* #,##0_-;_-* "-"??_-;_-@_-</c:formatCode>
                <c:ptCount val="7"/>
                <c:pt idx="0">
                  <c:v>163480244.93000001</c:v>
                </c:pt>
                <c:pt idx="1">
                  <c:v>152917930.06</c:v>
                </c:pt>
                <c:pt idx="2">
                  <c:v>138364502</c:v>
                </c:pt>
                <c:pt idx="3">
                  <c:v>133313884</c:v>
                </c:pt>
                <c:pt idx="4">
                  <c:v>118936705</c:v>
                </c:pt>
                <c:pt idx="5">
                  <c:v>126388533</c:v>
                </c:pt>
                <c:pt idx="6">
                  <c:v>129078789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4-4242-B919-D95F59CFEF20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Total current assets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hiddenPage!$B$84</c:f>
                  <c:strCache>
                    <c:ptCount val="1"/>
                    <c:pt idx="0">
                      <c:v>34%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{E40695A1-94A2-4DFD-B325-29E994559F24}</c15:txfldGUID>
                      <c15:f>hiddenPage!$B$84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169-4A57-89C2-A2C186F54A08}"/>
                </c:ext>
              </c:extLst>
            </c:dLbl>
            <c:dLbl>
              <c:idx val="1"/>
              <c:tx>
                <c:strRef>
                  <c:f>hiddenPage!$C$84</c:f>
                  <c:strCache>
                    <c:ptCount val="1"/>
                    <c:pt idx="0">
                      <c:v>34%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{730BAD44-61A1-4DD2-82F8-526BE1E7486A}</c15:txfldGUID>
                      <c15:f>hiddenPage!$C$84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169-4A57-89C2-A2C186F54A08}"/>
                </c:ext>
              </c:extLst>
            </c:dLbl>
            <c:dLbl>
              <c:idx val="2"/>
              <c:tx>
                <c:strRef>
                  <c:f>hiddenPage!$D$84</c:f>
                  <c:strCache>
                    <c:ptCount val="1"/>
                    <c:pt idx="0">
                      <c:v>43%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{95BC51AE-0311-4C75-9A7C-515A6C1AE4B7}</c15:txfldGUID>
                      <c15:f>hiddenPage!$D$84</c15:f>
                      <c15:dlblFieldTableCache>
                        <c:ptCount val="1"/>
                        <c:pt idx="0">
                          <c:v>43%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53B-422F-8942-6A1FAFC54339}"/>
                </c:ext>
              </c:extLst>
            </c:dLbl>
            <c:dLbl>
              <c:idx val="3"/>
              <c:tx>
                <c:strRef>
                  <c:f>hiddenPage!$E$84</c:f>
                  <c:strCache>
                    <c:ptCount val="1"/>
                    <c:pt idx="0">
                      <c:v>52%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{445B6BA3-B654-4745-82ED-97456C9D85FE}</c15:txfldGUID>
                      <c15:f>hiddenPage!$E$84</c15:f>
                      <c15:dlblFieldTableCache>
                        <c:ptCount val="1"/>
                        <c:pt idx="0">
                          <c:v>52%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53B-422F-8942-6A1FAFC54339}"/>
                </c:ext>
              </c:extLst>
            </c:dLbl>
            <c:dLbl>
              <c:idx val="4"/>
              <c:tx>
                <c:strRef>
                  <c:f>hiddenPage!$F$84</c:f>
                  <c:strCache>
                    <c:ptCount val="1"/>
                    <c:pt idx="0">
                      <c:v>51%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{F1F3FCEC-9089-4052-BA37-BFFB29D3C3F2}</c15:txfldGUID>
                      <c15:f>hiddenPage!$F$84</c15:f>
                      <c15:dlblFieldTableCache>
                        <c:ptCount val="1"/>
                        <c:pt idx="0">
                          <c:v>51%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53B-422F-8942-6A1FAFC54339}"/>
                </c:ext>
              </c:extLst>
            </c:dLbl>
            <c:dLbl>
              <c:idx val="5"/>
              <c:tx>
                <c:strRef>
                  <c:f>hiddenPage!$G$84</c:f>
                  <c:strCache>
                    <c:ptCount val="1"/>
                    <c:pt idx="0">
                      <c:v>47%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{C0A37957-8F6A-4077-8A92-4D1904FCAE89}</c15:txfldGUID>
                      <c15:f>hiddenPage!$G$84</c15:f>
                      <c15:dlblFieldTableCache>
                        <c:ptCount val="1"/>
                        <c:pt idx="0">
                          <c:v>47%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767-495F-9079-D06147E7B4F2}"/>
                </c:ext>
              </c:extLst>
            </c:dLbl>
            <c:dLbl>
              <c:idx val="6"/>
              <c:tx>
                <c:strRef>
                  <c:f>hiddenPage!$H$84</c:f>
                  <c:strCache>
                    <c:ptCount val="1"/>
                    <c:pt idx="0">
                      <c:v>46%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{DB1D1069-576C-480A-BA8C-6F6B98D35381}</c15:txfldGUID>
                      <c15:f>hiddenPage!$H$84</c15:f>
                      <c15:dlblFieldTableCache>
                        <c:ptCount val="1"/>
                        <c:pt idx="0">
                          <c:v>46%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767-495F-9079-D06147E7B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hiddenPage!$B$9:$H$9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hiddenPage!$B$11:$H$11</c:f>
              <c:numCache>
                <c:formatCode>_-* #,##0_-;\-* #,##0_-;_-* "-"??_-;_-@_-</c:formatCode>
                <c:ptCount val="7"/>
                <c:pt idx="0">
                  <c:v>82714659.589999989</c:v>
                </c:pt>
                <c:pt idx="1">
                  <c:v>78436250.86999999</c:v>
                </c:pt>
                <c:pt idx="2">
                  <c:v>105658368</c:v>
                </c:pt>
                <c:pt idx="3">
                  <c:v>146753533</c:v>
                </c:pt>
                <c:pt idx="4">
                  <c:v>122197548</c:v>
                </c:pt>
                <c:pt idx="5">
                  <c:v>110595628</c:v>
                </c:pt>
                <c:pt idx="6">
                  <c:v>110162717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4-4242-B919-D95F59CF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17263200"/>
        <c:axId val="617269760"/>
      </c:barChart>
      <c:scatterChart>
        <c:scatterStyle val="lineMarker"/>
        <c:varyColors val="0"/>
        <c:ser>
          <c:idx val="2"/>
          <c:order val="2"/>
          <c:tx>
            <c:strRef>
              <c:f>hiddenPage!$A$90</c:f>
              <c:strCache>
                <c:ptCount val="1"/>
                <c:pt idx="0">
                  <c:v>Total Assets</c:v>
                </c:pt>
              </c:strCache>
            </c:strRef>
          </c:tx>
          <c:spPr>
            <a:ln w="952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hiddenPage!$B$86:$H$86</c:f>
              <c:numCache>
                <c:formatCode>_-* #,##0_-;\-* #,##0_-;_-* "-"??_-;_-@_-</c:formatCode>
                <c:ptCount val="7"/>
                <c:pt idx="0">
                  <c:v>246194904.51999998</c:v>
                </c:pt>
                <c:pt idx="1">
                  <c:v>231354180.93000001</c:v>
                </c:pt>
                <c:pt idx="2">
                  <c:v>244022870</c:v>
                </c:pt>
                <c:pt idx="3">
                  <c:v>280067417</c:v>
                </c:pt>
                <c:pt idx="4">
                  <c:v>241134253</c:v>
                </c:pt>
                <c:pt idx="5">
                  <c:v>236984161</c:v>
                </c:pt>
                <c:pt idx="6">
                  <c:v>239241506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53B-422F-8942-6A1FAFC54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263200"/>
        <c:axId val="617269760"/>
      </c:scatterChart>
      <c:catAx>
        <c:axId val="6172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17269760"/>
        <c:crosses val="autoZero"/>
        <c:auto val="1"/>
        <c:lblAlgn val="ctr"/>
        <c:lblOffset val="100"/>
        <c:noMultiLvlLbl val="0"/>
      </c:catAx>
      <c:valAx>
        <c:axId val="61726976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6172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696952114282936"/>
          <c:w val="0.98855056892937399"/>
          <c:h val="7.7670909233898841E-2"/>
        </c:manualLayout>
      </c:layout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strRef>
          <c:f>hiddenPage!$D$7</c:f>
          <c:strCache>
            <c:ptCount val="1"/>
            <c:pt idx="0">
              <c:v>2025 structure of Assets</c:v>
            </c:pt>
          </c:strCache>
        </c:strRef>
      </c:tx>
      <c:layout>
        <c:manualLayout>
          <c:xMode val="edge"/>
          <c:yMode val="edge"/>
          <c:x val="0.51920158128382099"/>
          <c:y val="1.3888888888888888E-2"/>
        </c:manualLayout>
      </c:layout>
      <c:overlay val="0"/>
      <c:spPr>
        <a:solidFill>
          <a:schemeClr val="bg2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8440620848319886"/>
          <c:y val="9.5325117930938674E-2"/>
          <c:w val="0.62127530668858089"/>
          <c:h val="0.89499163460435005"/>
        </c:manualLayout>
      </c:layout>
      <c:pieChart>
        <c:varyColors val="1"/>
        <c:ser>
          <c:idx val="0"/>
          <c:order val="0"/>
          <c:spPr>
            <a:solidFill>
              <a:srgbClr val="219EBC"/>
            </a:solidFill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4-492C-AE55-B7CC0929C209}"/>
              </c:ext>
            </c:extLst>
          </c:dPt>
          <c:dPt>
            <c:idx val="1"/>
            <c:bubble3D val="0"/>
            <c:spPr>
              <a:solidFill>
                <a:srgbClr val="219EB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4-492C-AE55-B7CC0929C209}"/>
              </c:ext>
            </c:extLst>
          </c:dPt>
          <c:dLbls>
            <c:dLbl>
              <c:idx val="0"/>
              <c:layout>
                <c:manualLayout>
                  <c:x val="5.3366989884248747E-2"/>
                  <c:y val="5.92222621182343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2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0491411350484"/>
                      <c:h val="0.263880912675680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DE4-492C-AE55-B7CC0929C20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2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69214637633444"/>
                      <c:h val="0.263880912675680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DE4-492C-AE55-B7CC0929C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bg2">
                        <a:lumMod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Total non-current assets</c:v>
                </c:pt>
                <c:pt idx="1">
                  <c:v>Total current assets</c:v>
                </c:pt>
              </c:strCache>
            </c:strRef>
          </c:cat>
          <c:val>
            <c:numRef>
              <c:f>hiddenPage!$I$10:$I$11</c:f>
              <c:numCache>
                <c:formatCode>_-* #,##0_-;\-* #,##0_-;_-* "-"??_-;_-@_-</c:formatCode>
                <c:ptCount val="2"/>
                <c:pt idx="0">
                  <c:v>129078789</c:v>
                </c:pt>
                <c:pt idx="1">
                  <c:v>110162717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E4-492C-AE55-B7CC0929C20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hiddenPage!$D$32</c:f>
          <c:strCache>
            <c:ptCount val="1"/>
            <c:pt idx="0">
              <c:v>Evolution of Total current assets in the period 2019-2025</c:v>
            </c:pt>
          </c:strCache>
        </c:strRef>
      </c:tx>
      <c:layout>
        <c:manualLayout>
          <c:xMode val="edge"/>
          <c:yMode val="edge"/>
          <c:x val="7.6433489292099498E-3"/>
          <c:y val="1.3414945378561496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15099735537803E-2"/>
          <c:y val="9.1945114303733588E-2"/>
          <c:w val="0.97184900264462193"/>
          <c:h val="0.796991985186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hiddenPage!$B$41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hiddenPage!$B$42:$B$49</c:f>
              <c:numCache>
                <c:formatCode>_-* #,##0\ _l_e_i_-;\-* #,##0\ _l_e_i_-;_-* "-"??\ _l_e_i_-;_-@_-</c:formatCode>
                <c:ptCount val="8"/>
                <c:pt idx="1">
                  <c:v>78436250.86999999</c:v>
                </c:pt>
                <c:pt idx="2">
                  <c:v>78436250.86999999</c:v>
                </c:pt>
                <c:pt idx="3">
                  <c:v>105658368</c:v>
                </c:pt>
                <c:pt idx="4">
                  <c:v>122197548</c:v>
                </c:pt>
                <c:pt idx="5">
                  <c:v>110595628</c:v>
                </c:pt>
                <c:pt idx="6">
                  <c:v>110162717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A-4267-ADC1-CDBB0FEC14C9}"/>
            </c:ext>
          </c:extLst>
        </c:ser>
        <c:ser>
          <c:idx val="1"/>
          <c:order val="1"/>
          <c:tx>
            <c:strRef>
              <c:f>hiddenPage!$C$41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9-4DB6-879F-83075AEA88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hiddenPage!$C$42:$C$49</c:f>
              <c:numCache>
                <c:formatCode>_-* #,##0\ _l_e_i_-;\-* #,##0\ _l_e_i_-;_-* "-"??\ _l_e_i_-;_-@_-</c:formatCode>
                <c:ptCount val="8"/>
                <c:pt idx="7">
                  <c:v>110162717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A-4267-ADC1-CDBB0FEC14C9}"/>
            </c:ext>
          </c:extLst>
        </c:ser>
        <c:ser>
          <c:idx val="2"/>
          <c:order val="2"/>
          <c:tx>
            <c:strRef>
              <c:f>hiddenPage!$D$41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rgbClr val="F59F9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3332E-3"/>
                  <c:y val="-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A-4267-ADC1-CDBB0FEC14C9}"/>
                </c:ext>
              </c:extLst>
            </c:dLbl>
            <c:dLbl>
              <c:idx val="4"/>
              <c:layout>
                <c:manualLayout>
                  <c:x val="-7.0852643662024309E-17"/>
                  <c:y val="-2.3937757307330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8A-4267-ADC1-CDBB0FEC14C9}"/>
                </c:ext>
              </c:extLst>
            </c:dLbl>
            <c:dLbl>
              <c:idx val="5"/>
              <c:layout>
                <c:manualLayout>
                  <c:x val="-3.8647342995169081E-3"/>
                  <c:y val="-2.8725308768796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hiddenPage!$D$42:$D$49</c:f>
              <c:numCache>
                <c:formatCode>_-* #,##0\ _l_e_i_-;\-* #,##0\ _l_e_i_-;_-* "-"??\ _l_e_i_-;_-@_-</c:formatCode>
                <c:ptCount val="8"/>
                <c:pt idx="1">
                  <c:v>4278408.7199999988</c:v>
                </c:pt>
                <c:pt idx="2">
                  <c:v>0</c:v>
                </c:pt>
                <c:pt idx="3">
                  <c:v>0</c:v>
                </c:pt>
                <c:pt idx="4">
                  <c:v>24555985</c:v>
                </c:pt>
                <c:pt idx="5">
                  <c:v>11601920</c:v>
                </c:pt>
                <c:pt idx="6">
                  <c:v>432911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A-4267-ADC1-CDBB0FEC14C9}"/>
            </c:ext>
          </c:extLst>
        </c:ser>
        <c:ser>
          <c:idx val="3"/>
          <c:order val="3"/>
          <c:tx>
            <c:strRef>
              <c:f>hiddenPage!$E$41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C3DEB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1219040955771699E-3"/>
                  <c:y val="2.84275004495397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8A-4267-ADC1-CDBB0FEC14C9}"/>
                </c:ext>
              </c:extLst>
            </c:dLbl>
            <c:dLbl>
              <c:idx val="5"/>
              <c:layout>
                <c:manualLayout>
                  <c:x val="2.7778203188538737E-3"/>
                  <c:y val="-4.58225220745704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hiddenPage!$E$42:$E$49</c:f>
              <c:numCache>
                <c:formatCode>_-* #,##0\ _l_e_i_-;\-* #,##0\ _l_e_i_-;_-* "-"??\ _l_e_i_-;_-@_-</c:formatCode>
                <c:ptCount val="8"/>
                <c:pt idx="1">
                  <c:v>0</c:v>
                </c:pt>
                <c:pt idx="2">
                  <c:v>27222117.13000001</c:v>
                </c:pt>
                <c:pt idx="3">
                  <c:v>41095165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A-4267-ADC1-CDBB0FEC14C9}"/>
            </c:ext>
          </c:extLst>
        </c:ser>
        <c:ser>
          <c:idx val="4"/>
          <c:order val="4"/>
          <c:tx>
            <c:strRef>
              <c:f>hiddenPage!$F$41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8A-4267-ADC1-CDBB0FEC14C9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7.4074074074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hiddenPage!$F$42:$F$49</c:f>
              <c:numCache>
                <c:formatCode>General</c:formatCode>
                <c:ptCount val="8"/>
                <c:pt idx="0" formatCode="_-* #,##0_-;\-* #,##0_-;_-* &quot;-&quot;??_-;_-@_-">
                  <c:v>82714659.589999989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8A-4267-ADC1-CDBB0FEC14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573463936"/>
        <c:axId val="573462624"/>
      </c:barChart>
      <c:catAx>
        <c:axId val="573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73462624"/>
        <c:crosses val="autoZero"/>
        <c:auto val="1"/>
        <c:lblAlgn val="ctr"/>
        <c:lblOffset val="100"/>
        <c:noMultiLvlLbl val="0"/>
      </c:catAx>
      <c:valAx>
        <c:axId val="5734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346393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2.Comprehensive income'!A1"/><Relationship Id="rId7" Type="http://schemas.openxmlformats.org/officeDocument/2006/relationships/hyperlink" Target="#Charts!A1"/><Relationship Id="rId2" Type="http://schemas.openxmlformats.org/officeDocument/2006/relationships/hyperlink" Target="#'1.FinancialPosition'!A1"/><Relationship Id="rId1" Type="http://schemas.openxmlformats.org/officeDocument/2006/relationships/hyperlink" Target="#Snapshots!A1"/><Relationship Id="rId6" Type="http://schemas.openxmlformats.org/officeDocument/2006/relationships/chart" Target="../charts/chart1.xml"/><Relationship Id="rId5" Type="http://schemas.openxmlformats.org/officeDocument/2006/relationships/hyperlink" Target="#'4.Financial ratios'!A1"/><Relationship Id="rId4" Type="http://schemas.openxmlformats.org/officeDocument/2006/relationships/hyperlink" Target="#'3.Statement of cash flow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ents!H6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Contents!H6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hyperlink" Target="#Contents!H6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3386</xdr:colOff>
      <xdr:row>0</xdr:row>
      <xdr:rowOff>152401</xdr:rowOff>
    </xdr:from>
    <xdr:to>
      <xdr:col>19</xdr:col>
      <xdr:colOff>600074</xdr:colOff>
      <xdr:row>5</xdr:row>
      <xdr:rowOff>76201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1595966" y="152401"/>
          <a:ext cx="8452908" cy="84582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rgbClr val="219EBC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TABLE OF CONTENTS</a:t>
          </a:r>
        </a:p>
      </xdr:txBody>
    </xdr:sp>
    <xdr:clientData/>
  </xdr:twoCellAnchor>
  <xdr:twoCellAnchor>
    <xdr:from>
      <xdr:col>20</xdr:col>
      <xdr:colOff>167217</xdr:colOff>
      <xdr:row>9</xdr:row>
      <xdr:rowOff>35984</xdr:rowOff>
    </xdr:from>
    <xdr:to>
      <xdr:col>22</xdr:col>
      <xdr:colOff>430350</xdr:colOff>
      <xdr:row>11</xdr:row>
      <xdr:rowOff>133584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10267950" y="1458384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SNAPSHOTS</a:t>
          </a:r>
        </a:p>
      </xdr:txBody>
    </xdr:sp>
    <xdr:clientData/>
  </xdr:twoCellAnchor>
  <xdr:twoCellAnchor>
    <xdr:from>
      <xdr:col>20</xdr:col>
      <xdr:colOff>167217</xdr:colOff>
      <xdr:row>11</xdr:row>
      <xdr:rowOff>182034</xdr:rowOff>
    </xdr:from>
    <xdr:to>
      <xdr:col>22</xdr:col>
      <xdr:colOff>430350</xdr:colOff>
      <xdr:row>14</xdr:row>
      <xdr:rowOff>234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10267950" y="2010834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FINANCIAL</a:t>
          </a:r>
          <a:r>
            <a:rPr lang="en-GB" sz="1050" b="1" baseline="0">
              <a:solidFill>
                <a:schemeClr val="bg1"/>
              </a:solidFill>
              <a:latin typeface="Candara" panose="020E0502030303020204" pitchFamily="34" charset="0"/>
            </a:rPr>
            <a:t> POSITION</a:t>
          </a:r>
          <a:endParaRPr lang="en-GB" sz="105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20</xdr:col>
      <xdr:colOff>167217</xdr:colOff>
      <xdr:row>14</xdr:row>
      <xdr:rowOff>41276</xdr:rowOff>
    </xdr:from>
    <xdr:to>
      <xdr:col>22</xdr:col>
      <xdr:colOff>430350</xdr:colOff>
      <xdr:row>16</xdr:row>
      <xdr:rowOff>121943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0267950" y="2555876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COMPREHENSIVE</a:t>
          </a:r>
          <a:r>
            <a:rPr lang="en-GB" sz="1050" b="1" baseline="0">
              <a:solidFill>
                <a:schemeClr val="bg1"/>
              </a:solidFill>
              <a:latin typeface="Candara" panose="020E0502030303020204" pitchFamily="34" charset="0"/>
            </a:rPr>
            <a:t> INCOME</a:t>
          </a:r>
          <a:endParaRPr lang="en-GB" sz="105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20</xdr:col>
      <xdr:colOff>184150</xdr:colOff>
      <xdr:row>19</xdr:row>
      <xdr:rowOff>156632</xdr:rowOff>
    </xdr:from>
    <xdr:to>
      <xdr:col>22</xdr:col>
      <xdr:colOff>447283</xdr:colOff>
      <xdr:row>22</xdr:row>
      <xdr:rowOff>76432</xdr:rowOff>
    </xdr:to>
    <xdr:sp macro="" textlink="">
      <xdr:nvSpPr>
        <xdr:cNvPr id="12" name="Rectangle: Rounded Corner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AA3E13-CC9A-487B-AB12-2C4DF279077F}"/>
            </a:ext>
          </a:extLst>
        </xdr:cNvPr>
        <xdr:cNvSpPr/>
      </xdr:nvSpPr>
      <xdr:spPr>
        <a:xfrm>
          <a:off x="10284883" y="3678765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CASH FLOW</a:t>
          </a:r>
        </a:p>
      </xdr:txBody>
    </xdr:sp>
    <xdr:clientData/>
  </xdr:twoCellAnchor>
  <xdr:twoCellAnchor>
    <xdr:from>
      <xdr:col>20</xdr:col>
      <xdr:colOff>184150</xdr:colOff>
      <xdr:row>16</xdr:row>
      <xdr:rowOff>175682</xdr:rowOff>
    </xdr:from>
    <xdr:to>
      <xdr:col>22</xdr:col>
      <xdr:colOff>447283</xdr:colOff>
      <xdr:row>19</xdr:row>
      <xdr:rowOff>95482</xdr:rowOff>
    </xdr:to>
    <xdr:sp macro="" textlink="">
      <xdr:nvSpPr>
        <xdr:cNvPr id="13" name="Rectangle: Rounded Corner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0284883" y="3113615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FINANCIAL RATIOS</a:t>
          </a:r>
        </a:p>
      </xdr:txBody>
    </xdr:sp>
    <xdr:clientData/>
  </xdr:twoCellAnchor>
  <xdr:twoCellAnchor>
    <xdr:from>
      <xdr:col>6</xdr:col>
      <xdr:colOff>239183</xdr:colOff>
      <xdr:row>9</xdr:row>
      <xdr:rowOff>69849</xdr:rowOff>
    </xdr:from>
    <xdr:to>
      <xdr:col>19</xdr:col>
      <xdr:colOff>577849</xdr:colOff>
      <xdr:row>20</xdr:row>
      <xdr:rowOff>101600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184150</xdr:colOff>
      <xdr:row>22</xdr:row>
      <xdr:rowOff>120649</xdr:rowOff>
    </xdr:from>
    <xdr:to>
      <xdr:col>22</xdr:col>
      <xdr:colOff>447283</xdr:colOff>
      <xdr:row>25</xdr:row>
      <xdr:rowOff>175915</xdr:rowOff>
    </xdr:to>
    <xdr:sp macro="" textlink="">
      <xdr:nvSpPr>
        <xdr:cNvPr id="14" name="Rectangle: Rounded Corner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0284883" y="4226982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INTERACTIVE CHARTS</a:t>
          </a:r>
        </a:p>
      </xdr:txBody>
    </xdr:sp>
    <xdr:clientData/>
  </xdr:twoCellAnchor>
  <xdr:twoCellAnchor editAs="oneCell">
    <xdr:from>
      <xdr:col>15</xdr:col>
      <xdr:colOff>496993</xdr:colOff>
      <xdr:row>1</xdr:row>
      <xdr:rowOff>161714</xdr:rowOff>
    </xdr:from>
    <xdr:to>
      <xdr:col>19</xdr:col>
      <xdr:colOff>384810</xdr:colOff>
      <xdr:row>4</xdr:row>
      <xdr:rowOff>107950</xdr:rowOff>
    </xdr:to>
    <xdr:pic>
      <xdr:nvPicPr>
        <xdr:cNvPr id="15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78B9181D-8D8B-4407-ADC6-D0D8743B4E8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893" y="344594"/>
          <a:ext cx="2135717" cy="50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169334</xdr:colOff>
      <xdr:row>0</xdr:row>
      <xdr:rowOff>0</xdr:rowOff>
    </xdr:from>
    <xdr:to>
      <xdr:col>20</xdr:col>
      <xdr:colOff>364068</xdr:colOff>
      <xdr:row>19</xdr:row>
      <xdr:rowOff>59266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E483B0-9179-49EF-B9D3-0FE3296AA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201789</xdr:colOff>
      <xdr:row>21</xdr:row>
      <xdr:rowOff>15523</xdr:rowOff>
    </xdr:from>
    <xdr:to>
      <xdr:col>20</xdr:col>
      <xdr:colOff>483729</xdr:colOff>
      <xdr:row>35</xdr:row>
      <xdr:rowOff>94403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E779C48-0015-4224-B6D7-6831115AF7A8}"/>
            </a:ext>
          </a:extLst>
        </xdr:cNvPr>
        <xdr:cNvGrpSpPr/>
      </xdr:nvGrpSpPr>
      <xdr:grpSpPr>
        <a:xfrm>
          <a:off x="11885789" y="4153606"/>
          <a:ext cx="5192607" cy="2745880"/>
          <a:chOff x="7984067" y="2837603"/>
          <a:chExt cx="5158740" cy="2791037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CFC66AA-ECD5-4641-9631-31928F1857F0}"/>
              </a:ext>
            </a:extLst>
          </xdr:cNvPr>
          <xdr:cNvGraphicFramePr/>
        </xdr:nvGraphicFramePr>
        <xdr:xfrm>
          <a:off x="7984067" y="2837603"/>
          <a:ext cx="5158740" cy="27910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08ABB87A-AB2E-4069-B8F0-46E5B5829B3C}"/>
              </a:ext>
            </a:extLst>
          </xdr:cNvPr>
          <xdr:cNvCxnSpPr/>
        </xdr:nvCxnSpPr>
        <xdr:spPr>
          <a:xfrm>
            <a:off x="8390467" y="3276600"/>
            <a:ext cx="4343400" cy="0"/>
          </a:xfrm>
          <a:prstGeom prst="straightConnector1">
            <a:avLst/>
          </a:prstGeom>
          <a:ln>
            <a:solidFill>
              <a:srgbClr val="219EBC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N$21">
        <xdr:nvSpPr>
          <xdr:cNvPr id="12" name="Oval 11">
            <a:extLst>
              <a:ext uri="{FF2B5EF4-FFF2-40B4-BE49-F238E27FC236}">
                <a16:creationId xmlns:a16="http://schemas.microsoft.com/office/drawing/2014/main" id="{C1133954-1F98-414A-ABAA-644F3722E785}"/>
              </a:ext>
            </a:extLst>
          </xdr:cNvPr>
          <xdr:cNvSpPr/>
        </xdr:nvSpPr>
        <xdr:spPr>
          <a:xfrm>
            <a:off x="10232814" y="3087793"/>
            <a:ext cx="609600" cy="407247"/>
          </a:xfrm>
          <a:prstGeom prst="ellipse">
            <a:avLst/>
          </a:prstGeom>
          <a:solidFill>
            <a:srgbClr val="219EBC"/>
          </a:solidFill>
          <a:ln>
            <a:solidFill>
              <a:srgbClr val="219EB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3083F85-A33D-42BD-8C5D-B4680AC54B30}" type="TxLink">
              <a:rPr lang="en-US" sz="1100" b="0" i="0" u="none" strike="noStrike">
                <a:solidFill>
                  <a:srgbClr val="000000"/>
                </a:solidFill>
                <a:latin typeface="Candara" panose="020E0502030303020204" pitchFamily="34" charset="0"/>
                <a:cs typeface="Calibri"/>
              </a:rPr>
              <a:pPr algn="ctr"/>
              <a:t>6%</a:t>
            </a:fld>
            <a:endParaRPr lang="ro-RO" sz="1000"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21</xdr:col>
      <xdr:colOff>0</xdr:colOff>
      <xdr:row>2</xdr:row>
      <xdr:rowOff>0</xdr:rowOff>
    </xdr:from>
    <xdr:to>
      <xdr:col>22</xdr:col>
      <xdr:colOff>217382</xdr:colOff>
      <xdr:row>4</xdr:row>
      <xdr:rowOff>52281</xdr:rowOff>
    </xdr:to>
    <xdr:sp macro="" textlink="">
      <xdr:nvSpPr>
        <xdr:cNvPr id="2" name="Rectangle: Rounded Corner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931E1D-949F-471A-A193-873BDF7DF4CA}"/>
            </a:ext>
          </a:extLst>
        </xdr:cNvPr>
        <xdr:cNvSpPr/>
      </xdr:nvSpPr>
      <xdr:spPr>
        <a:xfrm>
          <a:off x="17208500" y="391583"/>
          <a:ext cx="831215" cy="52853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83820</xdr:colOff>
      <xdr:row>0</xdr:row>
      <xdr:rowOff>167640</xdr:rowOff>
    </xdr:from>
    <xdr:to>
      <xdr:col>14</xdr:col>
      <xdr:colOff>10160</xdr:colOff>
      <xdr:row>2</xdr:row>
      <xdr:rowOff>315171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4F645-39E8-4424-874E-E5F7D1E42A4D}"/>
            </a:ext>
          </a:extLst>
        </xdr:cNvPr>
        <xdr:cNvSpPr/>
      </xdr:nvSpPr>
      <xdr:spPr>
        <a:xfrm>
          <a:off x="12816840" y="167640"/>
          <a:ext cx="863600" cy="51329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14</xdr:col>
      <xdr:colOff>304800</xdr:colOff>
      <xdr:row>3</xdr:row>
      <xdr:rowOff>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4DB67E-E651-41F6-B38A-D15797D0B832}"/>
            </a:ext>
          </a:extLst>
        </xdr:cNvPr>
        <xdr:cNvSpPr/>
      </xdr:nvSpPr>
      <xdr:spPr>
        <a:xfrm>
          <a:off x="11039475" y="190500"/>
          <a:ext cx="847725" cy="428625"/>
        </a:xfrm>
        <a:prstGeom prst="roundRect">
          <a:avLst/>
        </a:prstGeom>
        <a:solidFill>
          <a:srgbClr val="219EBC"/>
        </a:solidFill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  <xdr:twoCellAnchor>
    <xdr:from>
      <xdr:col>20</xdr:col>
      <xdr:colOff>287866</xdr:colOff>
      <xdr:row>35</xdr:row>
      <xdr:rowOff>0</xdr:rowOff>
    </xdr:from>
    <xdr:to>
      <xdr:col>28</xdr:col>
      <xdr:colOff>415266</xdr:colOff>
      <xdr:row>47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444FF541-12C2-445C-9EB9-535F79507DC8}"/>
            </a:ext>
          </a:extLst>
        </xdr:cNvPr>
        <xdr:cNvGrpSpPr/>
      </xdr:nvGrpSpPr>
      <xdr:grpSpPr>
        <a:xfrm>
          <a:off x="16734366" y="6985000"/>
          <a:ext cx="5313233" cy="2719917"/>
          <a:chOff x="9457265" y="14964833"/>
          <a:chExt cx="5139267" cy="2743200"/>
        </a:xfrm>
        <a:solidFill>
          <a:srgbClr val="219EBC"/>
        </a:solidFill>
      </xdr:grpSpPr>
      <xdr:graphicFrame macro="">
        <xdr:nvGraphicFramePr>
          <xdr:cNvPr id="19" name="Chart 18">
            <a:extLst>
              <a:ext uri="{FF2B5EF4-FFF2-40B4-BE49-F238E27FC236}">
                <a16:creationId xmlns:a16="http://schemas.microsoft.com/office/drawing/2014/main" id="{BE0454A8-6C87-42B1-99C6-5F43BD8B1C46}"/>
              </a:ext>
            </a:extLst>
          </xdr:cNvPr>
          <xdr:cNvGraphicFramePr/>
        </xdr:nvGraphicFramePr>
        <xdr:xfrm>
          <a:off x="9457265" y="14964833"/>
          <a:ext cx="513926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C3785DF7-B568-406E-97CC-429F5CE4DC3E}"/>
              </a:ext>
            </a:extLst>
          </xdr:cNvPr>
          <xdr:cNvGrpSpPr/>
        </xdr:nvGrpSpPr>
        <xdr:grpSpPr>
          <a:xfrm>
            <a:off x="9854028" y="15283625"/>
            <a:ext cx="4509658" cy="279187"/>
            <a:chOff x="3935828" y="16545158"/>
            <a:chExt cx="4509658" cy="279187"/>
          </a:xfrm>
          <a:grpFill/>
        </xdr:grpSpPr>
        <xdr:cxnSp macro="">
          <xdr:nvCxnSpPr>
            <xdr:cNvPr id="21" name="Straight Arrow Connector 20">
              <a:extLst>
                <a:ext uri="{FF2B5EF4-FFF2-40B4-BE49-F238E27FC236}">
                  <a16:creationId xmlns:a16="http://schemas.microsoft.com/office/drawing/2014/main" id="{CBC48B51-47BC-408E-AA36-A589105DED88}"/>
                </a:ext>
              </a:extLst>
            </xdr:cNvPr>
            <xdr:cNvCxnSpPr/>
          </xdr:nvCxnSpPr>
          <xdr:spPr>
            <a:xfrm flipH="1" flipV="1">
              <a:off x="3935828" y="16690962"/>
              <a:ext cx="1794701" cy="0"/>
            </a:xfrm>
            <a:prstGeom prst="straightConnector1">
              <a:avLst/>
            </a:prstGeom>
            <a:grpFill/>
            <a:ln>
              <a:solidFill>
                <a:srgbClr val="219EBC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Straight Arrow Connector 21">
              <a:extLst>
                <a:ext uri="{FF2B5EF4-FFF2-40B4-BE49-F238E27FC236}">
                  <a16:creationId xmlns:a16="http://schemas.microsoft.com/office/drawing/2014/main" id="{75D3C5C5-90CC-42A7-9C7D-02F7B8918EA0}"/>
                </a:ext>
              </a:extLst>
            </xdr:cNvPr>
            <xdr:cNvCxnSpPr/>
          </xdr:nvCxnSpPr>
          <xdr:spPr>
            <a:xfrm flipV="1">
              <a:off x="6319920" y="16687998"/>
              <a:ext cx="2125566" cy="0"/>
            </a:xfrm>
            <a:prstGeom prst="straightConnector1">
              <a:avLst/>
            </a:prstGeom>
            <a:grpFill/>
            <a:ln>
              <a:solidFill>
                <a:srgbClr val="219EBC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hiddenPage!H77">
          <xdr:nvSpPr>
            <xdr:cNvPr id="23" name="Flowchart: Connector 22">
              <a:extLst>
                <a:ext uri="{FF2B5EF4-FFF2-40B4-BE49-F238E27FC236}">
                  <a16:creationId xmlns:a16="http://schemas.microsoft.com/office/drawing/2014/main" id="{F64BBE14-8446-4BF2-B71D-B286732ABD0F}"/>
                </a:ext>
              </a:extLst>
            </xdr:cNvPr>
            <xdr:cNvSpPr/>
          </xdr:nvSpPr>
          <xdr:spPr>
            <a:xfrm>
              <a:off x="5744638" y="16545158"/>
              <a:ext cx="574648" cy="279187"/>
            </a:xfrm>
            <a:prstGeom prst="flowChartConnector">
              <a:avLst/>
            </a:prstGeom>
            <a:grpFill/>
            <a:ln>
              <a:solidFill>
                <a:srgbClr val="219EB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BC1866E2-B098-41F6-85EA-0003F5D2A0DD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-15%</a:t>
              </a:fld>
              <a:endParaRPr lang="ro-RO" sz="900">
                <a:solidFill>
                  <a:sysClr val="windowText" lastClr="000000"/>
                </a:solidFill>
                <a:latin typeface="Candara" panose="020E0502030303020204" pitchFamily="34" charset="0"/>
              </a:endParaRP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59268</xdr:colOff>
      <xdr:row>0</xdr:row>
      <xdr:rowOff>50799</xdr:rowOff>
    </xdr:from>
    <xdr:to>
      <xdr:col>12</xdr:col>
      <xdr:colOff>922868</xdr:colOff>
      <xdr:row>2</xdr:row>
      <xdr:rowOff>183090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69454-A2B2-4964-9130-9914EBBEC83C}"/>
            </a:ext>
          </a:extLst>
        </xdr:cNvPr>
        <xdr:cNvSpPr/>
      </xdr:nvSpPr>
      <xdr:spPr>
        <a:xfrm>
          <a:off x="11675535" y="50799"/>
          <a:ext cx="863600" cy="51329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70</xdr:row>
      <xdr:rowOff>99060</xdr:rowOff>
    </xdr:from>
    <xdr:to>
      <xdr:col>16</xdr:col>
      <xdr:colOff>1066800</xdr:colOff>
      <xdr:row>89</xdr:row>
      <xdr:rowOff>137160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6D029397-63D1-4DCA-9CEF-EA4C69245425}"/>
            </a:ext>
          </a:extLst>
        </xdr:cNvPr>
        <xdr:cNvGrpSpPr/>
      </xdr:nvGrpSpPr>
      <xdr:grpSpPr>
        <a:xfrm>
          <a:off x="9267825" y="13434060"/>
          <a:ext cx="5410200" cy="3657600"/>
          <a:chOff x="9418320" y="12854940"/>
          <a:chExt cx="5539740" cy="351282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B7973FEE-62CB-4602-9400-2FC9ED556B58}"/>
              </a:ext>
            </a:extLst>
          </xdr:cNvPr>
          <xdr:cNvGrpSpPr/>
        </xdr:nvGrpSpPr>
        <xdr:grpSpPr>
          <a:xfrm>
            <a:off x="9418320" y="12854940"/>
            <a:ext cx="5539740" cy="3512820"/>
            <a:chOff x="9457265" y="14964833"/>
            <a:chExt cx="5139267" cy="2743200"/>
          </a:xfrm>
        </xdr:grpSpPr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1351101-D358-4F2F-A3F2-215FBDA85509}"/>
                </a:ext>
              </a:extLst>
            </xdr:cNvPr>
            <xdr:cNvGraphicFramePr/>
          </xdr:nvGraphicFramePr>
          <xdr:xfrm>
            <a:off x="9457265" y="14964833"/>
            <a:ext cx="5139267" cy="2743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45BBA3DC-BA92-41F4-AF70-660E0788C660}"/>
                </a:ext>
              </a:extLst>
            </xdr:cNvPr>
            <xdr:cNvGrpSpPr/>
          </xdr:nvGrpSpPr>
          <xdr:grpSpPr>
            <a:xfrm>
              <a:off x="9830014" y="15283625"/>
              <a:ext cx="4557686" cy="279187"/>
              <a:chOff x="3911814" y="16545158"/>
              <a:chExt cx="4557686" cy="279187"/>
            </a:xfrm>
          </xdr:grpSpPr>
          <xdr:cxnSp macro="">
            <xdr:nvCxnSpPr>
              <xdr:cNvPr id="5" name="Straight Arrow Connector 4">
                <a:extLst>
                  <a:ext uri="{FF2B5EF4-FFF2-40B4-BE49-F238E27FC236}">
                    <a16:creationId xmlns:a16="http://schemas.microsoft.com/office/drawing/2014/main" id="{4C197959-2E41-42AE-BAE4-25F8FB74EDF9}"/>
                  </a:ext>
                </a:extLst>
              </xdr:cNvPr>
              <xdr:cNvCxnSpPr/>
            </xdr:nvCxnSpPr>
            <xdr:spPr>
              <a:xfrm flipH="1" flipV="1">
                <a:off x="3911814" y="16671506"/>
                <a:ext cx="1794701" cy="0"/>
              </a:xfrm>
              <a:prstGeom prst="straightConnector1">
                <a:avLst/>
              </a:prstGeom>
              <a:ln>
                <a:solidFill>
                  <a:schemeClr val="accent6">
                    <a:lumMod val="40000"/>
                    <a:lumOff val="60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" name="Straight Arrow Connector 5">
                <a:extLst>
                  <a:ext uri="{FF2B5EF4-FFF2-40B4-BE49-F238E27FC236}">
                    <a16:creationId xmlns:a16="http://schemas.microsoft.com/office/drawing/2014/main" id="{E9F6ED99-9147-4DF9-8396-A3B497FB8C41}"/>
                  </a:ext>
                </a:extLst>
              </xdr:cNvPr>
              <xdr:cNvCxnSpPr/>
            </xdr:nvCxnSpPr>
            <xdr:spPr>
              <a:xfrm flipV="1">
                <a:off x="6343934" y="16668543"/>
                <a:ext cx="2125566" cy="0"/>
              </a:xfrm>
              <a:prstGeom prst="straightConnector1">
                <a:avLst/>
              </a:prstGeom>
              <a:ln>
                <a:solidFill>
                  <a:schemeClr val="accent6">
                    <a:lumMod val="40000"/>
                    <a:lumOff val="60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$H$77">
            <xdr:nvSpPr>
              <xdr:cNvPr id="7" name="Flowchart: Connector 6">
                <a:extLst>
                  <a:ext uri="{FF2B5EF4-FFF2-40B4-BE49-F238E27FC236}">
                    <a16:creationId xmlns:a16="http://schemas.microsoft.com/office/drawing/2014/main" id="{D832D840-2D8D-4C32-A527-A9E410701D3E}"/>
                  </a:ext>
                </a:extLst>
              </xdr:cNvPr>
              <xdr:cNvSpPr/>
            </xdr:nvSpPr>
            <xdr:spPr>
              <a:xfrm>
                <a:off x="5744638" y="16545158"/>
                <a:ext cx="574648" cy="279187"/>
              </a:xfrm>
              <a:prstGeom prst="flowChartConnector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fld id="{D1CE32C4-A540-4397-A9C0-97C6362A8A81}" type="TxLink">
                  <a:rPr lang="en-US" sz="1100" b="0" i="0" u="none" strike="noStrike">
                    <a:solidFill>
                      <a:srgbClr val="000000"/>
                    </a:solidFill>
                    <a:latin typeface="Candara"/>
                  </a:rPr>
                  <a:pPr algn="ctr"/>
                  <a:t>-15%</a:t>
                </a:fld>
                <a:endParaRPr lang="ro-RO" sz="1000">
                  <a:solidFill>
                    <a:sysClr val="windowText" lastClr="000000"/>
                  </a:solidFill>
                  <a:latin typeface="Candara" panose="020E0502030303020204" pitchFamily="34" charset="0"/>
                </a:endParaRPr>
              </a:p>
            </xdr:txBody>
          </xdr:sp>
        </xdr:grpSp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5EEB5C3C-88B4-4D72-ABF5-14B0FA372769}"/>
              </a:ext>
            </a:extLst>
          </xdr:cNvPr>
          <xdr:cNvGrpSpPr/>
        </xdr:nvGrpSpPr>
        <xdr:grpSpPr>
          <a:xfrm>
            <a:off x="9997440" y="14958060"/>
            <a:ext cx="4427220" cy="1013460"/>
            <a:chOff x="9997440" y="14958060"/>
            <a:chExt cx="4427220" cy="1013460"/>
          </a:xfrm>
        </xdr:grpSpPr>
        <xdr:sp macro="" textlink="$C$78">
          <xdr:nvSpPr>
            <xdr:cNvPr id="8" name="Oval 7">
              <a:extLst>
                <a:ext uri="{FF2B5EF4-FFF2-40B4-BE49-F238E27FC236}">
                  <a16:creationId xmlns:a16="http://schemas.microsoft.com/office/drawing/2014/main" id="{787BC188-D49B-4AA7-87DF-97D3F1CB2FA7}"/>
                </a:ext>
              </a:extLst>
            </xdr:cNvPr>
            <xdr:cNvSpPr/>
          </xdr:nvSpPr>
          <xdr:spPr>
            <a:xfrm>
              <a:off x="9997440" y="1562862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5D2812C8-9C9A-4D6B-B995-C614AE7648FB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-25%</a:t>
              </a:fld>
              <a:endParaRPr lang="ro-RO" sz="900"/>
            </a:p>
          </xdr:txBody>
        </xdr:sp>
        <xdr:sp macro="" textlink="$E$78">
          <xdr:nvSpPr>
            <xdr:cNvPr id="9" name="Oval 8">
              <a:extLst>
                <a:ext uri="{FF2B5EF4-FFF2-40B4-BE49-F238E27FC236}">
                  <a16:creationId xmlns:a16="http://schemas.microsoft.com/office/drawing/2014/main" id="{48D8579D-EED0-42B2-9C65-52740FF0F0C4}"/>
                </a:ext>
              </a:extLst>
            </xdr:cNvPr>
            <xdr:cNvSpPr/>
          </xdr:nvSpPr>
          <xdr:spPr>
            <a:xfrm>
              <a:off x="11605260" y="1543050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C1D78B53-94BE-4A74-BDB5-54535A6A38A8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22%</a:t>
              </a:fld>
              <a:endParaRPr lang="ro-RO" sz="900"/>
            </a:p>
          </xdr:txBody>
        </xdr:sp>
        <xdr:sp macro="" textlink="$F$78">
          <xdr:nvSpPr>
            <xdr:cNvPr id="10" name="Oval 9">
              <a:extLst>
                <a:ext uri="{FF2B5EF4-FFF2-40B4-BE49-F238E27FC236}">
                  <a16:creationId xmlns:a16="http://schemas.microsoft.com/office/drawing/2014/main" id="{ABE6EB27-07E4-41F9-818A-F978AA117157}"/>
                </a:ext>
              </a:extLst>
            </xdr:cNvPr>
            <xdr:cNvSpPr/>
          </xdr:nvSpPr>
          <xdr:spPr>
            <a:xfrm>
              <a:off x="12336780" y="1526286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19DA0796-7760-4D4F-B753-33944154B22A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-18%</a:t>
              </a:fld>
              <a:endParaRPr lang="ro-RO" sz="900"/>
            </a:p>
          </xdr:txBody>
        </xdr:sp>
        <xdr:sp macro="" textlink="$D$78">
          <xdr:nvSpPr>
            <xdr:cNvPr id="11" name="Oval 10">
              <a:extLst>
                <a:ext uri="{FF2B5EF4-FFF2-40B4-BE49-F238E27FC236}">
                  <a16:creationId xmlns:a16="http://schemas.microsoft.com/office/drawing/2014/main" id="{19B99F8A-4C2A-4EF1-9D13-18D3C46987BA}"/>
                </a:ext>
              </a:extLst>
            </xdr:cNvPr>
            <xdr:cNvSpPr/>
          </xdr:nvSpPr>
          <xdr:spPr>
            <a:xfrm>
              <a:off x="10782300" y="1552956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10CDE3B3-E928-42D2-B628-564998902095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65%</a:t>
              </a:fld>
              <a:endParaRPr lang="ro-RO" sz="900"/>
            </a:p>
          </xdr:txBody>
        </xdr:sp>
        <xdr:sp macro="" textlink="$H$78">
          <xdr:nvSpPr>
            <xdr:cNvPr id="12" name="Oval 11">
              <a:extLst>
                <a:ext uri="{FF2B5EF4-FFF2-40B4-BE49-F238E27FC236}">
                  <a16:creationId xmlns:a16="http://schemas.microsoft.com/office/drawing/2014/main" id="{5C306E38-CBBD-416D-9898-0C14F64F7E71}"/>
                </a:ext>
              </a:extLst>
            </xdr:cNvPr>
            <xdr:cNvSpPr/>
          </xdr:nvSpPr>
          <xdr:spPr>
            <a:xfrm>
              <a:off x="13837920" y="1495806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7F860210-C84F-4BFB-BE58-A9DBB66E6664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-24%</a:t>
              </a:fld>
              <a:endParaRPr lang="ro-RO" sz="900"/>
            </a:p>
          </xdr:txBody>
        </xdr:sp>
        <xdr:sp macro="" textlink="$G$78">
          <xdr:nvSpPr>
            <xdr:cNvPr id="13" name="Oval 12">
              <a:extLst>
                <a:ext uri="{FF2B5EF4-FFF2-40B4-BE49-F238E27FC236}">
                  <a16:creationId xmlns:a16="http://schemas.microsoft.com/office/drawing/2014/main" id="{56D95B1A-F759-4989-9A99-E2F5BF91CBA4}"/>
                </a:ext>
              </a:extLst>
            </xdr:cNvPr>
            <xdr:cNvSpPr/>
          </xdr:nvSpPr>
          <xdr:spPr>
            <a:xfrm>
              <a:off x="13037820" y="15079980"/>
              <a:ext cx="65532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DF744C14-7702-44D0-8556-594CCC3062D6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-9%</a:t>
              </a:fld>
              <a:endParaRPr lang="ro-RO" sz="9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138112</xdr:rowOff>
    </xdr:from>
    <xdr:to>
      <xdr:col>7</xdr:col>
      <xdr:colOff>523875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FBFA-3C40-4BCF-A853-015D6F75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34847</xdr:colOff>
      <xdr:row>2</xdr:row>
      <xdr:rowOff>98241</xdr:rowOff>
    </xdr:from>
    <xdr:to>
      <xdr:col>16</xdr:col>
      <xdr:colOff>119230</xdr:colOff>
      <xdr:row>18</xdr:row>
      <xdr:rowOff>4644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16D11D-85A4-457E-9BDB-C75A67B1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3714</xdr:colOff>
      <xdr:row>2</xdr:row>
      <xdr:rowOff>69695</xdr:rowOff>
    </xdr:from>
    <xdr:to>
      <xdr:col>23</xdr:col>
      <xdr:colOff>313628</xdr:colOff>
      <xdr:row>18</xdr:row>
      <xdr:rowOff>4644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4D9CFA-FC60-46B9-B8B1-3D8486B2D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517777</xdr:colOff>
      <xdr:row>21</xdr:row>
      <xdr:rowOff>81835</xdr:rowOff>
    </xdr:from>
    <xdr:to>
      <xdr:col>23</xdr:col>
      <xdr:colOff>348475</xdr:colOff>
      <xdr:row>36</xdr:row>
      <xdr:rowOff>28866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2D5C9EC-9367-462A-A782-7D2F4E65F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588690</xdr:colOff>
      <xdr:row>21</xdr:row>
      <xdr:rowOff>84215</xdr:rowOff>
    </xdr:from>
    <xdr:to>
      <xdr:col>12</xdr:col>
      <xdr:colOff>267164</xdr:colOff>
      <xdr:row>36</xdr:row>
      <xdr:rowOff>23232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FF98DAD-3B59-4FDB-9787-C979A26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74342</xdr:colOff>
      <xdr:row>2</xdr:row>
      <xdr:rowOff>27877</xdr:rowOff>
    </xdr:from>
    <xdr:to>
      <xdr:col>25</xdr:col>
      <xdr:colOff>315332</xdr:colOff>
      <xdr:row>5</xdr:row>
      <xdr:rowOff>104412</xdr:rowOff>
    </xdr:to>
    <xdr:sp macro="" textlink="">
      <xdr:nvSpPr>
        <xdr:cNvPr id="9" name="Rectangle: Rounded Corner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3599C0-F662-49BB-BA7F-973FF9145B0F}"/>
            </a:ext>
          </a:extLst>
        </xdr:cNvPr>
        <xdr:cNvSpPr/>
      </xdr:nvSpPr>
      <xdr:spPr>
        <a:xfrm>
          <a:off x="14320025" y="315950"/>
          <a:ext cx="863600" cy="51329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0.34483</cdr:x>
      <cdr:y>0.85533</cdr:y>
    </cdr:from>
    <cdr:to>
      <cdr:x>0.58793</cdr:x>
      <cdr:y>0.9349</cdr:y>
    </cdr:to>
    <cdr:sp macro="" textlink="hiddenPage!$N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39357C1-CB08-426B-A395-39008F9F3DD1}"/>
            </a:ext>
          </a:extLst>
        </cdr:cNvPr>
        <cdr:cNvSpPr/>
      </cdr:nvSpPr>
      <cdr:spPr>
        <a:xfrm xmlns:a="http://schemas.openxmlformats.org/drawingml/2006/main">
          <a:off x="1905000" y="2252663"/>
          <a:ext cx="1343025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fld id="{A30024D5-E9B9-4590-B6E9-99EBCADEAB94}" type="TxLink">
            <a:rPr lang="en-US" sz="1100" b="0" i="0" u="none" strike="noStrike">
              <a:solidFill>
                <a:schemeClr val="bg1"/>
              </a:solidFill>
              <a:latin typeface="Candara"/>
            </a:rPr>
            <a:pPr/>
            <a:t>Total  : 16481076,0 lei</a:t>
          </a:fld>
          <a:endParaRPr lang="en-US" sz="1050">
            <a:solidFill>
              <a:schemeClr val="bg1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275166</xdr:colOff>
      <xdr:row>0</xdr:row>
      <xdr:rowOff>190500</xdr:rowOff>
    </xdr:from>
    <xdr:to>
      <xdr:col>10</xdr:col>
      <xdr:colOff>512233</xdr:colOff>
      <xdr:row>2</xdr:row>
      <xdr:rowOff>95250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0F4E0C-DD91-4541-81D5-AEF5A1B5E51E}"/>
            </a:ext>
          </a:extLst>
        </xdr:cNvPr>
        <xdr:cNvSpPr/>
      </xdr:nvSpPr>
      <xdr:spPr>
        <a:xfrm>
          <a:off x="11228916" y="190500"/>
          <a:ext cx="850900" cy="476250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mcarbon.com/EN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9EBC"/>
  </sheetPr>
  <dimension ref="A2:T32"/>
  <sheetViews>
    <sheetView showGridLines="0" tabSelected="1" zoomScale="90" zoomScaleNormal="90" workbookViewId="0">
      <selection activeCell="U39" sqref="U39"/>
    </sheetView>
  </sheetViews>
  <sheetFormatPr defaultColWidth="9.140625" defaultRowHeight="15" x14ac:dyDescent="0.25"/>
  <cols>
    <col min="1" max="1" width="0.5703125" style="106" customWidth="1"/>
    <col min="2" max="2" width="4.85546875" style="106" customWidth="1"/>
    <col min="3" max="3" width="2.5703125" style="106" customWidth="1"/>
    <col min="4" max="4" width="3" style="106" customWidth="1"/>
    <col min="5" max="5" width="3.5703125" style="106" customWidth="1"/>
    <col min="6" max="6" width="4.85546875" style="106" customWidth="1"/>
    <col min="7" max="7" width="3.5703125" style="106" customWidth="1"/>
    <col min="8" max="11" width="11.42578125" style="106" customWidth="1"/>
    <col min="12" max="18" width="9.140625" style="106"/>
    <col min="19" max="19" width="5.42578125" style="106" customWidth="1"/>
    <col min="20" max="21" width="9.140625" style="106"/>
    <col min="22" max="22" width="8" style="106" customWidth="1"/>
    <col min="23" max="23" width="7.5703125" style="106" customWidth="1"/>
    <col min="24" max="16384" width="9.140625" style="106"/>
  </cols>
  <sheetData>
    <row r="2" spans="1:20" ht="15" customHeight="1" x14ac:dyDescent="0.25">
      <c r="A2" s="105"/>
      <c r="B2" s="105"/>
      <c r="C2" s="105"/>
      <c r="D2" s="105"/>
      <c r="E2" s="105"/>
      <c r="F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0" x14ac:dyDescent="0.25">
      <c r="B3" s="105"/>
      <c r="C3" s="105"/>
      <c r="D3" s="105"/>
      <c r="E3" s="105"/>
      <c r="F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0" x14ac:dyDescent="0.25">
      <c r="A4" s="105"/>
      <c r="B4" s="105"/>
      <c r="C4" s="105"/>
      <c r="D4" s="105"/>
      <c r="E4" s="105"/>
      <c r="F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0" x14ac:dyDescent="0.25">
      <c r="A5" s="105"/>
      <c r="B5" s="105"/>
      <c r="C5" s="105"/>
      <c r="D5" s="105"/>
      <c r="E5" s="105"/>
      <c r="F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20" ht="9.75" customHeight="1" x14ac:dyDescent="0.25">
      <c r="A6" s="105"/>
      <c r="B6" s="105"/>
      <c r="C6" s="105"/>
      <c r="D6" s="105"/>
      <c r="E6" s="107"/>
      <c r="F6" s="105"/>
      <c r="H6" s="105"/>
      <c r="I6" s="105"/>
      <c r="J6" s="105"/>
      <c r="K6" s="105"/>
      <c r="L6" s="105"/>
      <c r="M6" s="105"/>
      <c r="N6" s="105"/>
      <c r="O6" s="105"/>
      <c r="P6" s="105"/>
      <c r="Q6" s="105"/>
    </row>
    <row r="7" spans="1:20" ht="6" customHeight="1" x14ac:dyDescent="0.25">
      <c r="A7" s="105"/>
      <c r="B7" s="105"/>
      <c r="C7" s="105"/>
      <c r="D7" s="105"/>
      <c r="E7" s="107"/>
      <c r="F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20" ht="16.5" customHeight="1" x14ac:dyDescent="0.25">
      <c r="A8" s="108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spans="1:20" ht="21" x14ac:dyDescent="0.35">
      <c r="H9" s="216" t="s">
        <v>258</v>
      </c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</row>
    <row r="10" spans="1:20" ht="14.25" customHeight="1" x14ac:dyDescent="0.35"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</row>
    <row r="11" spans="1:20" ht="18.75" x14ac:dyDescent="0.3">
      <c r="L11" s="109"/>
      <c r="M11" s="109"/>
      <c r="N11" s="109"/>
      <c r="O11" s="109"/>
      <c r="P11" s="110"/>
      <c r="Q11" s="109"/>
      <c r="R11" s="109"/>
      <c r="S11" s="110"/>
      <c r="T11" s="111"/>
    </row>
    <row r="12" spans="1:20" ht="18.75" x14ac:dyDescent="0.3">
      <c r="L12" s="109"/>
      <c r="M12" s="109"/>
      <c r="N12" s="109"/>
      <c r="O12" s="109"/>
      <c r="P12" s="109"/>
      <c r="S12" s="112"/>
      <c r="T12" s="112"/>
    </row>
    <row r="13" spans="1:20" ht="18.75" x14ac:dyDescent="0.3">
      <c r="L13" s="109"/>
      <c r="M13" s="109"/>
      <c r="N13" s="109"/>
      <c r="O13" s="109"/>
      <c r="P13" s="109"/>
      <c r="S13" s="109"/>
      <c r="T13" s="111"/>
    </row>
    <row r="14" spans="1:20" ht="18.75" x14ac:dyDescent="0.3">
      <c r="L14" s="109"/>
      <c r="M14" s="109"/>
      <c r="N14" s="109"/>
      <c r="O14" s="109"/>
      <c r="P14" s="109"/>
      <c r="S14" s="109"/>
      <c r="T14" s="111"/>
    </row>
    <row r="15" spans="1:20" ht="18.75" x14ac:dyDescent="0.3">
      <c r="L15" s="109"/>
      <c r="M15" s="109"/>
      <c r="N15" s="109"/>
      <c r="O15" s="109"/>
      <c r="P15" s="109"/>
      <c r="S15" s="109"/>
      <c r="T15" s="111"/>
    </row>
    <row r="16" spans="1:20" ht="15" customHeight="1" x14ac:dyDescent="0.3">
      <c r="L16" s="109"/>
      <c r="M16" s="109"/>
      <c r="N16" s="109"/>
      <c r="O16" s="109"/>
      <c r="P16" s="109"/>
      <c r="S16" s="109"/>
      <c r="T16" s="111"/>
    </row>
    <row r="17" spans="8:20" ht="15" customHeight="1" x14ac:dyDescent="0.3">
      <c r="L17" s="109"/>
      <c r="M17" s="109"/>
      <c r="N17" s="109"/>
      <c r="O17" s="109"/>
      <c r="P17" s="109"/>
      <c r="S17" s="109"/>
      <c r="T17" s="111"/>
    </row>
    <row r="18" spans="8:20" ht="15" customHeight="1" x14ac:dyDescent="0.3">
      <c r="L18" s="109"/>
      <c r="M18" s="109"/>
      <c r="N18" s="109"/>
      <c r="O18" s="109"/>
      <c r="P18" s="109"/>
      <c r="S18" s="109"/>
      <c r="T18" s="111"/>
    </row>
    <row r="19" spans="8:20" ht="15" customHeight="1" x14ac:dyDescent="0.3">
      <c r="L19" s="109"/>
      <c r="M19" s="109"/>
      <c r="N19" s="109"/>
      <c r="O19" s="109"/>
      <c r="P19" s="109"/>
      <c r="S19" s="109"/>
      <c r="T19" s="111"/>
    </row>
    <row r="20" spans="8:20" ht="15" customHeight="1" x14ac:dyDescent="0.3">
      <c r="L20" s="109"/>
      <c r="M20" s="109"/>
      <c r="N20" s="109"/>
      <c r="O20" s="109"/>
      <c r="P20" s="109"/>
      <c r="Q20" s="109"/>
      <c r="R20" s="109"/>
      <c r="S20" s="110"/>
      <c r="T20" s="111"/>
    </row>
    <row r="21" spans="8:20" ht="15" customHeight="1" x14ac:dyDescent="0.3">
      <c r="L21" s="109"/>
      <c r="M21" s="109"/>
      <c r="N21" s="109"/>
      <c r="O21" s="109"/>
      <c r="P21" s="109"/>
      <c r="Q21" s="109"/>
      <c r="R21" s="109"/>
      <c r="S21" s="110"/>
      <c r="T21" s="111"/>
    </row>
    <row r="22" spans="8:20" ht="15" customHeight="1" x14ac:dyDescent="0.25">
      <c r="H22" s="221" t="s">
        <v>141</v>
      </c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</row>
    <row r="23" spans="8:20" ht="15" customHeight="1" x14ac:dyDescent="0.25">
      <c r="H23" s="219" t="s">
        <v>140</v>
      </c>
      <c r="I23" s="219"/>
      <c r="J23" s="219"/>
      <c r="K23" s="219"/>
      <c r="L23" s="220"/>
      <c r="M23" s="220"/>
      <c r="N23" s="220"/>
      <c r="O23" s="220"/>
      <c r="P23" s="220"/>
      <c r="Q23" s="220"/>
      <c r="R23" s="220"/>
      <c r="S23" s="220"/>
      <c r="T23" s="220"/>
    </row>
    <row r="24" spans="8:20" ht="15" customHeight="1" x14ac:dyDescent="0.25">
      <c r="H24" s="222" t="s">
        <v>154</v>
      </c>
      <c r="I24" s="222"/>
      <c r="J24" s="222"/>
      <c r="K24" s="222"/>
      <c r="L24" s="222"/>
      <c r="M24" s="222"/>
      <c r="N24" s="222"/>
      <c r="O24" s="222"/>
      <c r="P24" s="222"/>
      <c r="Q24" s="222"/>
      <c r="R24" s="114"/>
      <c r="S24" s="114"/>
      <c r="T24" s="114"/>
    </row>
    <row r="25" spans="8:20" ht="4.7" customHeight="1" x14ac:dyDescent="0.25"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8:20" x14ac:dyDescent="0.25">
      <c r="H26" s="218"/>
      <c r="I26" s="218"/>
      <c r="J26" s="218"/>
      <c r="K26" s="218"/>
      <c r="L26" s="218"/>
      <c r="M26" s="218"/>
      <c r="N26" s="218"/>
      <c r="O26" s="115"/>
      <c r="P26" s="116"/>
      <c r="Q26" s="215" t="s">
        <v>148</v>
      </c>
      <c r="R26" s="215"/>
      <c r="S26" s="215"/>
      <c r="T26" s="215"/>
    </row>
    <row r="27" spans="8:20" x14ac:dyDescent="0.25">
      <c r="H27" s="218"/>
      <c r="I27" s="218"/>
      <c r="J27" s="218"/>
      <c r="K27" s="218"/>
      <c r="L27" s="218"/>
      <c r="M27" s="218"/>
      <c r="N27" s="218"/>
      <c r="O27" s="117"/>
      <c r="P27" s="118"/>
      <c r="Q27" s="215" t="s">
        <v>152</v>
      </c>
      <c r="R27" s="215"/>
      <c r="S27" s="215"/>
      <c r="T27" s="215"/>
    </row>
    <row r="28" spans="8:20" x14ac:dyDescent="0.25">
      <c r="H28" s="119"/>
      <c r="I28" s="119"/>
      <c r="J28" s="119"/>
      <c r="K28" s="119"/>
      <c r="L28" s="119"/>
      <c r="M28" s="119"/>
      <c r="N28" s="119"/>
      <c r="O28" s="120"/>
      <c r="P28" s="121"/>
      <c r="Q28" s="122" t="s">
        <v>149</v>
      </c>
      <c r="R28" s="122"/>
      <c r="S28" s="122"/>
      <c r="T28" s="122"/>
    </row>
    <row r="29" spans="8:20" x14ac:dyDescent="0.25">
      <c r="H29" s="119"/>
      <c r="I29" s="119"/>
      <c r="J29" s="119"/>
      <c r="K29" s="119"/>
      <c r="L29" s="119"/>
      <c r="M29" s="119"/>
      <c r="N29" s="119"/>
      <c r="O29" s="120"/>
      <c r="P29" s="121"/>
      <c r="Q29" s="215" t="s">
        <v>150</v>
      </c>
      <c r="R29" s="215"/>
      <c r="S29" s="215"/>
      <c r="T29" s="215"/>
    </row>
    <row r="30" spans="8:20" x14ac:dyDescent="0.25">
      <c r="H30" s="119"/>
      <c r="I30" s="119"/>
      <c r="J30" s="119"/>
      <c r="K30" s="119"/>
      <c r="L30" s="119"/>
      <c r="M30" s="119"/>
      <c r="N30" s="119"/>
      <c r="O30" s="120"/>
      <c r="P30" s="121"/>
      <c r="Q30" s="214" t="s">
        <v>192</v>
      </c>
      <c r="R30" s="214"/>
      <c r="S30" s="214"/>
      <c r="T30" s="214"/>
    </row>
    <row r="31" spans="8:20" x14ac:dyDescent="0.25">
      <c r="H31" s="119"/>
      <c r="I31" s="119"/>
      <c r="J31" s="119"/>
      <c r="K31" s="119"/>
      <c r="L31" s="119"/>
      <c r="M31" s="119"/>
      <c r="N31" s="119"/>
      <c r="O31" s="120"/>
      <c r="P31" s="121"/>
      <c r="Q31" s="214" t="s">
        <v>151</v>
      </c>
      <c r="R31" s="214"/>
      <c r="S31" s="214"/>
      <c r="T31" s="214"/>
    </row>
    <row r="32" spans="8:20" ht="3" customHeight="1" x14ac:dyDescent="0.25"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</row>
  </sheetData>
  <mergeCells count="12">
    <mergeCell ref="Q30:T30"/>
    <mergeCell ref="Q31:T31"/>
    <mergeCell ref="Q29:T29"/>
    <mergeCell ref="H9:T9"/>
    <mergeCell ref="H10:T10"/>
    <mergeCell ref="Q27:T27"/>
    <mergeCell ref="H26:N26"/>
    <mergeCell ref="H27:N27"/>
    <mergeCell ref="H23:T23"/>
    <mergeCell ref="H22:T22"/>
    <mergeCell ref="Q26:T26"/>
    <mergeCell ref="H24:Q24"/>
  </mergeCells>
  <hyperlinks>
    <hyperlink ref="Q30" r:id="rId1" xr:uid="{71673C88-5463-4161-83CF-CD9CF893B618}"/>
    <hyperlink ref="Q31" r:id="rId2" xr:uid="{82F5B292-7BE3-40E1-A66D-AB909AD3CE02}"/>
    <hyperlink ref="Q30:T30" r:id="rId3" location="shares" display="www.romcarbon.com" xr:uid="{02F9AC0E-C59E-4B94-A68F-62D5310C64A0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4"/>
  <sheetViews>
    <sheetView showGridLines="0" zoomScale="90" zoomScaleNormal="90" workbookViewId="0">
      <selection activeCell="W9" sqref="W9"/>
    </sheetView>
  </sheetViews>
  <sheetFormatPr defaultRowHeight="15" x14ac:dyDescent="0.25"/>
  <cols>
    <col min="1" max="1" width="54.42578125" style="53" bestFit="1" customWidth="1"/>
    <col min="2" max="2" width="13.140625" style="53" bestFit="1" customWidth="1"/>
    <col min="3" max="3" width="12.5703125" style="53" customWidth="1"/>
    <col min="4" max="4" width="13.42578125" style="53" customWidth="1"/>
    <col min="5" max="5" width="13" style="53" bestFit="1" customWidth="1"/>
    <col min="6" max="6" width="13" style="53" customWidth="1"/>
    <col min="7" max="7" width="14.85546875" style="53" bestFit="1" customWidth="1"/>
    <col min="8" max="8" width="14.7109375" style="53" bestFit="1" customWidth="1"/>
    <col min="9" max="9" width="2.42578125" style="80" customWidth="1"/>
    <col min="10" max="10" width="12" style="53" bestFit="1" customWidth="1"/>
    <col min="11" max="11" width="8.42578125" style="53" bestFit="1" customWidth="1"/>
    <col min="12" max="12" width="3" customWidth="1"/>
  </cols>
  <sheetData>
    <row r="2" spans="1:11" ht="15.75" thickBot="1" x14ac:dyDescent="0.3">
      <c r="H2" s="53" t="s">
        <v>259</v>
      </c>
    </row>
    <row r="3" spans="1:11" s="104" customFormat="1" ht="22.7" customHeight="1" thickBot="1" x14ac:dyDescent="0.3">
      <c r="A3" s="175" t="s">
        <v>147</v>
      </c>
      <c r="B3" s="176">
        <v>2019</v>
      </c>
      <c r="C3" s="176">
        <f>B3+1</f>
        <v>2020</v>
      </c>
      <c r="D3" s="176">
        <f t="shared" ref="D3:H3" si="0">C3+1</f>
        <v>2021</v>
      </c>
      <c r="E3" s="176">
        <f t="shared" si="0"/>
        <v>2022</v>
      </c>
      <c r="F3" s="176">
        <f t="shared" si="0"/>
        <v>2023</v>
      </c>
      <c r="G3" s="176">
        <f t="shared" si="0"/>
        <v>2024</v>
      </c>
      <c r="H3" s="176">
        <f t="shared" si="0"/>
        <v>2025</v>
      </c>
      <c r="I3" s="223" t="str">
        <f>CONCATENATE(H3," vs. ",G3)</f>
        <v>2025 vs. 2024</v>
      </c>
      <c r="J3" s="223"/>
      <c r="K3" s="223"/>
    </row>
    <row r="4" spans="1:11" x14ac:dyDescent="0.25">
      <c r="A4" s="177" t="s">
        <v>197</v>
      </c>
      <c r="B4" s="84">
        <f>'2.Comprehensive income'!C4</f>
        <v>183857279.62999997</v>
      </c>
      <c r="C4" s="84">
        <f>'2.Comprehensive income'!D4</f>
        <v>181146471.98999998</v>
      </c>
      <c r="D4" s="84">
        <f>'2.Comprehensive income'!E4</f>
        <v>264737647</v>
      </c>
      <c r="E4" s="84">
        <f>'2.Comprehensive income'!F4</f>
        <v>262801054</v>
      </c>
      <c r="F4" s="84">
        <f>'2.Comprehensive income'!G4</f>
        <v>214230854</v>
      </c>
      <c r="G4" s="84">
        <f>'2.Comprehensive income'!H4</f>
        <v>225633834</v>
      </c>
      <c r="H4" s="166">
        <f>'2.Comprehensive income'!I4</f>
        <v>194436269</v>
      </c>
      <c r="I4" s="158" t="str">
        <f>IF(H4+G4&gt;0,IF(H4&gt;G4,"▲",IF(H4=G4,"▬","▼")),IF(H4&gt;G4,"▼",IF(H4=G4,"▬","▲")))</f>
        <v>▼</v>
      </c>
      <c r="J4" s="169">
        <f>H4-G4</f>
        <v>-31197565</v>
      </c>
      <c r="K4" s="170">
        <f>H4/G4-1</f>
        <v>-0.13826634262661153</v>
      </c>
    </row>
    <row r="5" spans="1:11" x14ac:dyDescent="0.25">
      <c r="A5" s="177" t="s">
        <v>225</v>
      </c>
      <c r="B5" s="84">
        <f>'2.Comprehensive income'!C5</f>
        <v>4140236.81</v>
      </c>
      <c r="C5" s="84">
        <f>'2.Comprehensive income'!D5</f>
        <v>3967550.28</v>
      </c>
      <c r="D5" s="84">
        <f>'2.Comprehensive income'!E5</f>
        <v>4459406</v>
      </c>
      <c r="E5" s="84">
        <f>'2.Comprehensive income'!F5</f>
        <v>4454249</v>
      </c>
      <c r="F5" s="84">
        <f>'2.Comprehensive income'!G5</f>
        <v>4303986</v>
      </c>
      <c r="G5" s="84">
        <f>'2.Comprehensive income'!H5</f>
        <v>3994432</v>
      </c>
      <c r="H5" s="166">
        <f>'2.Comprehensive income'!I5</f>
        <v>3542005</v>
      </c>
      <c r="I5" s="158" t="str">
        <f t="shared" ref="I5:I15" si="1">IF(H5+G5&gt;0,IF(H5&gt;G5,"▲",IF(H5=G5,"▬","▼")),IF(H5&gt;G5,"▼",IF(H5=G5,"▬","▲")))</f>
        <v>▼</v>
      </c>
      <c r="J5" s="169">
        <f t="shared" ref="J5:J16" si="2">H5-G5</f>
        <v>-452427</v>
      </c>
      <c r="K5" s="170">
        <f t="shared" ref="K5:K18" si="3">H5/G5-1</f>
        <v>-0.11326441406437759</v>
      </c>
    </row>
    <row r="6" spans="1:11" ht="15.75" thickBot="1" x14ac:dyDescent="0.3">
      <c r="A6" s="177" t="s">
        <v>71</v>
      </c>
      <c r="B6" s="2">
        <f>'EBIT-EBITDA'!C9</f>
        <v>10419423.999999983</v>
      </c>
      <c r="C6" s="2">
        <f>'EBIT-EBITDA'!D9</f>
        <v>10207662.439999962</v>
      </c>
      <c r="D6" s="2">
        <f>'EBIT-EBITDA'!E9</f>
        <v>8112816</v>
      </c>
      <c r="E6" s="2">
        <f>'EBIT-EBITDA'!F9</f>
        <v>61072654</v>
      </c>
      <c r="F6" s="2">
        <f>'EBIT-EBITDA'!G9</f>
        <v>12582621</v>
      </c>
      <c r="G6" s="2">
        <f>'EBIT-EBITDA'!H9</f>
        <v>2598383</v>
      </c>
      <c r="H6" s="166">
        <f>'EBIT-EBITDA'!I9</f>
        <v>11628192</v>
      </c>
      <c r="I6" s="158" t="str">
        <f t="shared" si="1"/>
        <v>▲</v>
      </c>
      <c r="J6" s="169">
        <f t="shared" si="2"/>
        <v>9029809</v>
      </c>
      <c r="K6" s="170">
        <f t="shared" si="3"/>
        <v>3.4751647466905382</v>
      </c>
    </row>
    <row r="7" spans="1:11" ht="15.75" thickBot="1" x14ac:dyDescent="0.3">
      <c r="A7" s="178" t="s">
        <v>199</v>
      </c>
      <c r="B7" s="85">
        <v>12318776.420000032</v>
      </c>
      <c r="C7" s="85">
        <v>12374753.540000008</v>
      </c>
      <c r="D7" s="85">
        <v>13987047.550000012</v>
      </c>
      <c r="E7" s="85">
        <v>14036140.379999965</v>
      </c>
      <c r="F7" s="85">
        <v>4873275.8999999762</v>
      </c>
      <c r="G7" s="85">
        <v>579593.64999997616</v>
      </c>
      <c r="H7" s="167">
        <v>5624071.7500000298</v>
      </c>
      <c r="I7" s="174" t="str">
        <f t="shared" si="1"/>
        <v>▲</v>
      </c>
      <c r="J7" s="171">
        <f t="shared" si="2"/>
        <v>5044478.1000000536</v>
      </c>
      <c r="K7" s="172">
        <f>H7/G7-1</f>
        <v>8.7034737181821455</v>
      </c>
    </row>
    <row r="8" spans="1:11" ht="15.75" thickBot="1" x14ac:dyDescent="0.3">
      <c r="A8" s="177" t="s">
        <v>227</v>
      </c>
      <c r="B8" s="2">
        <f>'2.Comprehensive income'!C12</f>
        <v>3436523.5099999816</v>
      </c>
      <c r="C8" s="2">
        <f>'2.Comprehensive income'!D12</f>
        <v>3195643.0099999616</v>
      </c>
      <c r="D8" s="2">
        <f>'2.Comprehensive income'!E12</f>
        <v>7560431</v>
      </c>
      <c r="E8" s="2">
        <f>'2.Comprehensive income'!F12</f>
        <v>6621228</v>
      </c>
      <c r="F8" s="2">
        <f>'2.Comprehensive income'!G12</f>
        <v>2133197</v>
      </c>
      <c r="G8" s="2">
        <f>'2.Comprehensive income'!H12</f>
        <v>-7201258</v>
      </c>
      <c r="H8" s="166">
        <f>'2.Comprehensive income'!I12</f>
        <v>3273903</v>
      </c>
      <c r="I8" s="174" t="str">
        <f t="shared" ref="I8" si="4">IF(H8+G8&gt;0,IF(H8&gt;G8,"▲",IF(H8=G8,"▬","▼")),IF(H8&gt;G8,"▼",IF(H8=G8,"▬","▲")))</f>
        <v>▼</v>
      </c>
      <c r="J8" s="171">
        <f t="shared" ref="J8" si="5">H8-G8</f>
        <v>10475161</v>
      </c>
      <c r="K8" s="172">
        <f>H8/G8-1</f>
        <v>-1.4546293161555939</v>
      </c>
    </row>
    <row r="9" spans="1:11" x14ac:dyDescent="0.25">
      <c r="A9" s="177" t="s">
        <v>143</v>
      </c>
      <c r="B9" s="2">
        <f>'2.Comprehensive income'!C19</f>
        <v>370097.9599999818</v>
      </c>
      <c r="C9" s="2">
        <f>'2.Comprehensive income'!D19</f>
        <v>869105.43999996176</v>
      </c>
      <c r="D9" s="2">
        <f>'2.Comprehensive income'!E19</f>
        <v>-1447458</v>
      </c>
      <c r="E9" s="2">
        <f>'2.Comprehensive income'!F19</f>
        <v>51471690</v>
      </c>
      <c r="F9" s="2">
        <f>'2.Comprehensive income'!G19</f>
        <v>3313809</v>
      </c>
      <c r="G9" s="2">
        <f>'2.Comprehensive income'!H19</f>
        <v>-5992980</v>
      </c>
      <c r="H9" s="166">
        <f>'2.Comprehensive income'!I19</f>
        <v>1776808</v>
      </c>
      <c r="I9" s="158" t="str">
        <f>IF(H9+G9&gt;0,IF(H9&gt;G9,"▲",IF(H9=G9,"▬","▼")),IF(H9&gt;G9,"▼",IF(H9=G9,"▬","▲")))</f>
        <v>▼</v>
      </c>
      <c r="J9" s="169">
        <f t="shared" si="2"/>
        <v>7769788</v>
      </c>
      <c r="K9" s="170">
        <f t="shared" si="3"/>
        <v>-1.2964815500802604</v>
      </c>
    </row>
    <row r="10" spans="1:11" x14ac:dyDescent="0.25">
      <c r="A10" s="177" t="s">
        <v>236</v>
      </c>
      <c r="B10" s="2">
        <f>SUM('2.Comprehensive income'!C56:C61)</f>
        <v>0</v>
      </c>
      <c r="C10" s="2">
        <f>SUM('2.Comprehensive income'!D56:D61)</f>
        <v>0</v>
      </c>
      <c r="D10" s="2">
        <f>SUM('2.Comprehensive income'!E56:E61)</f>
        <v>0</v>
      </c>
      <c r="E10" s="2">
        <f>SUM('2.Comprehensive income'!F56:F61)</f>
        <v>46745700</v>
      </c>
      <c r="F10" s="2">
        <f>SUM('2.Comprehensive income'!G56:G61)</f>
        <v>0</v>
      </c>
      <c r="G10" s="2">
        <f>SUM('2.Comprehensive income'!H56:H61)</f>
        <v>0</v>
      </c>
      <c r="H10" s="166">
        <f>SUM('2.Comprehensive income'!I56:I61)</f>
        <v>1500000</v>
      </c>
      <c r="I10" s="158" t="str">
        <f t="shared" ref="I10:I12" si="6">IF(H10+G10&gt;0,IF(H10&gt;G10,"▲",IF(H10=G10,"▬","▼")),IF(H10&gt;G10,"▼",IF(H10=G10,"▬","▲")))</f>
        <v>▲</v>
      </c>
      <c r="J10" s="169">
        <f t="shared" si="2"/>
        <v>1500000</v>
      </c>
      <c r="K10" s="170"/>
    </row>
    <row r="11" spans="1:11" x14ac:dyDescent="0.25">
      <c r="A11" s="177" t="s">
        <v>238</v>
      </c>
      <c r="B11" s="2">
        <v>0</v>
      </c>
      <c r="C11" s="2">
        <v>0</v>
      </c>
      <c r="D11" s="2">
        <v>0</v>
      </c>
      <c r="E11" s="2">
        <v>-989160</v>
      </c>
      <c r="F11" s="2"/>
      <c r="G11" s="2"/>
      <c r="H11" s="166">
        <v>0</v>
      </c>
      <c r="I11" s="158" t="str">
        <f t="shared" si="6"/>
        <v>▬</v>
      </c>
      <c r="J11" s="169">
        <f t="shared" si="2"/>
        <v>0</v>
      </c>
      <c r="K11" s="170"/>
    </row>
    <row r="12" spans="1:11" x14ac:dyDescent="0.25">
      <c r="A12" s="177" t="s">
        <v>235</v>
      </c>
      <c r="B12" s="165">
        <f t="shared" ref="B12:F12" si="7">B9-(B10+B11)</f>
        <v>370097.9599999818</v>
      </c>
      <c r="C12" s="165">
        <f t="shared" si="7"/>
        <v>869105.43999996176</v>
      </c>
      <c r="D12" s="165">
        <f t="shared" si="7"/>
        <v>-1447458</v>
      </c>
      <c r="E12" s="165">
        <f t="shared" si="7"/>
        <v>5715150</v>
      </c>
      <c r="F12" s="165">
        <f t="shared" si="7"/>
        <v>3313809</v>
      </c>
      <c r="G12" s="165">
        <f>G9-(G10+G11)</f>
        <v>-5992980</v>
      </c>
      <c r="H12" s="166">
        <f t="shared" ref="H12" si="8">H9-(H10+H11)</f>
        <v>276808</v>
      </c>
      <c r="I12" s="155" t="str">
        <f t="shared" si="6"/>
        <v>▼</v>
      </c>
      <c r="J12" s="173">
        <f t="shared" si="2"/>
        <v>6269788</v>
      </c>
      <c r="K12" s="170">
        <f t="shared" si="3"/>
        <v>-1.0461887074543883</v>
      </c>
    </row>
    <row r="13" spans="1:11" x14ac:dyDescent="0.25">
      <c r="A13" s="177" t="s">
        <v>144</v>
      </c>
      <c r="B13" s="2">
        <f>'1.FinancialPosition'!B8</f>
        <v>163480244.93000001</v>
      </c>
      <c r="C13" s="2">
        <f>'1.FinancialPosition'!C8</f>
        <v>152917930.06</v>
      </c>
      <c r="D13" s="2">
        <f>'1.FinancialPosition'!D8</f>
        <v>138364502</v>
      </c>
      <c r="E13" s="2">
        <f>'1.FinancialPosition'!E8</f>
        <v>133313884</v>
      </c>
      <c r="F13" s="2">
        <f>'1.FinancialPosition'!F8</f>
        <v>118936705</v>
      </c>
      <c r="G13" s="2">
        <f>'1.FinancialPosition'!G8</f>
        <v>126388533</v>
      </c>
      <c r="H13" s="166">
        <f>'1.FinancialPosition'!H8</f>
        <v>129078789</v>
      </c>
      <c r="I13" s="158" t="str">
        <f t="shared" si="1"/>
        <v>▲</v>
      </c>
      <c r="J13" s="169">
        <f t="shared" si="2"/>
        <v>2690256</v>
      </c>
      <c r="K13" s="170">
        <f t="shared" si="3"/>
        <v>2.1285601914534436E-2</v>
      </c>
    </row>
    <row r="14" spans="1:11" x14ac:dyDescent="0.25">
      <c r="A14" s="177" t="s">
        <v>145</v>
      </c>
      <c r="B14" s="2">
        <f>'1.FinancialPosition'!B16</f>
        <v>82714659.589999989</v>
      </c>
      <c r="C14" s="2">
        <f>'1.FinancialPosition'!C16</f>
        <v>78436250.86999999</v>
      </c>
      <c r="D14" s="2">
        <f>'1.FinancialPosition'!D16</f>
        <v>105658368</v>
      </c>
      <c r="E14" s="2">
        <f>'1.FinancialPosition'!E16</f>
        <v>146753533</v>
      </c>
      <c r="F14" s="2">
        <f>'1.FinancialPosition'!F16</f>
        <v>122197548</v>
      </c>
      <c r="G14" s="2">
        <f>'1.FinancialPosition'!G16</f>
        <v>110595628</v>
      </c>
      <c r="H14" s="166">
        <f>'1.FinancialPosition'!H16</f>
        <v>110162717</v>
      </c>
      <c r="I14" s="158" t="str">
        <f t="shared" si="1"/>
        <v>▼</v>
      </c>
      <c r="J14" s="169">
        <f t="shared" si="2"/>
        <v>-432911</v>
      </c>
      <c r="K14" s="170">
        <f t="shared" si="3"/>
        <v>-3.9143590739409984E-3</v>
      </c>
    </row>
    <row r="15" spans="1:11" x14ac:dyDescent="0.25">
      <c r="A15" s="177" t="s">
        <v>10</v>
      </c>
      <c r="B15" s="2">
        <f>'1.FinancialPosition'!B22</f>
        <v>137054251.80000001</v>
      </c>
      <c r="C15" s="2">
        <f>'1.FinancialPosition'!C22</f>
        <v>138212542.24000001</v>
      </c>
      <c r="D15" s="2">
        <f>'1.FinancialPosition'!D22</f>
        <v>134144881</v>
      </c>
      <c r="E15" s="2">
        <f>'1.FinancialPosition'!E22</f>
        <v>160222957</v>
      </c>
      <c r="F15" s="2">
        <f>'1.FinancialPosition'!F22</f>
        <v>150816142</v>
      </c>
      <c r="G15" s="2">
        <f>'1.FinancialPosition'!G22</f>
        <v>142368615</v>
      </c>
      <c r="H15" s="166">
        <f>'1.FinancialPosition'!H22</f>
        <v>142613516</v>
      </c>
      <c r="I15" s="158" t="str">
        <f t="shared" si="1"/>
        <v>▲</v>
      </c>
      <c r="J15" s="169">
        <f t="shared" si="2"/>
        <v>244901</v>
      </c>
      <c r="K15" s="170">
        <f t="shared" si="3"/>
        <v>1.7201895235126052E-3</v>
      </c>
    </row>
    <row r="16" spans="1:11" x14ac:dyDescent="0.25">
      <c r="A16" s="177" t="s">
        <v>146</v>
      </c>
      <c r="B16" s="2">
        <f>'1.FinancialPosition'!B32</f>
        <v>109140652.72000001</v>
      </c>
      <c r="C16" s="2">
        <f>'1.FinancialPosition'!C32</f>
        <v>93141638.680000007</v>
      </c>
      <c r="D16" s="2">
        <f>'1.FinancialPosition'!D32</f>
        <v>109877989</v>
      </c>
      <c r="E16" s="2">
        <f>'1.FinancialPosition'!E32</f>
        <v>119844460.02</v>
      </c>
      <c r="F16" s="2">
        <f>'1.FinancialPosition'!F32</f>
        <v>90318111</v>
      </c>
      <c r="G16" s="2">
        <f>'1.FinancialPosition'!G32</f>
        <v>94615546</v>
      </c>
      <c r="H16" s="166">
        <f>'1.FinancialPosition'!H32</f>
        <v>96627990</v>
      </c>
      <c r="I16" s="158" t="str">
        <f>IF(H16+G16&gt;0,IF(H16&gt;G16,"▲",IF(H16=G16,"▬","▼")),IF(H16&gt;G16,"▼",IF(H16=G16,"▬","▲")))</f>
        <v>▲</v>
      </c>
      <c r="J16" s="169">
        <f t="shared" si="2"/>
        <v>2012444</v>
      </c>
      <c r="K16" s="170">
        <f t="shared" si="3"/>
        <v>2.1269697053801329E-2</v>
      </c>
    </row>
    <row r="17" spans="1:14" x14ac:dyDescent="0.25">
      <c r="A17" s="177" t="s">
        <v>200</v>
      </c>
      <c r="B17" s="86">
        <f>B16/(B13+B14)</f>
        <v>0.44330995774583071</v>
      </c>
      <c r="C17" s="86">
        <f t="shared" ref="C17:H17" si="9">C16/(C13+C14)</f>
        <v>0.40259328059509558</v>
      </c>
      <c r="D17" s="86">
        <f t="shared" si="9"/>
        <v>0.4502774227677922</v>
      </c>
      <c r="E17" s="86">
        <f t="shared" si="9"/>
        <v>0.4279128979148617</v>
      </c>
      <c r="F17" s="86">
        <f t="shared" si="9"/>
        <v>0.37455529389265158</v>
      </c>
      <c r="G17" s="86">
        <f t="shared" si="9"/>
        <v>0.39924839533896106</v>
      </c>
      <c r="H17" s="168">
        <f t="shared" si="9"/>
        <v>0.40389308534113644</v>
      </c>
      <c r="I17" s="158" t="str">
        <f>IF(H17+G17&gt;0,IF(H17&gt;G17,"▲",IF(H17=G17,"▬","▼")),IF(H17&gt;G17,"▼",IF(H17=G17,"▬","▲")))</f>
        <v>▲</v>
      </c>
      <c r="J17" s="169">
        <f t="shared" ref="J17:J18" si="10">H17-G17</f>
        <v>4.6446900021753779E-3</v>
      </c>
      <c r="K17" s="170">
        <f t="shared" si="3"/>
        <v>1.1633584646550732E-2</v>
      </c>
    </row>
    <row r="18" spans="1:14" x14ac:dyDescent="0.25">
      <c r="A18" s="177" t="s">
        <v>201</v>
      </c>
      <c r="B18" s="86">
        <f>'1.FinancialPosition'!B16/'1.FinancialPosition'!B31</f>
        <v>1.1039275542547775</v>
      </c>
      <c r="C18" s="86">
        <f>'1.FinancialPosition'!C16/'1.FinancialPosition'!C31</f>
        <v>1.1571444819918941</v>
      </c>
      <c r="D18" s="86">
        <f>'1.FinancialPosition'!D16/'1.FinancialPosition'!D31</f>
        <v>1.18947280717453</v>
      </c>
      <c r="E18" s="86">
        <f>'1.FinancialPosition'!E16/'1.FinancialPosition'!E31</f>
        <v>1.4742601822691708</v>
      </c>
      <c r="F18" s="86">
        <f>'1.FinancialPosition'!F16/'1.FinancialPosition'!F31</f>
        <v>1.7689554765528499</v>
      </c>
      <c r="G18" s="86">
        <f>'1.FinancialPosition'!G16/'1.FinancialPosition'!G31</f>
        <v>1.3579198742806255</v>
      </c>
      <c r="H18" s="168">
        <f>'1.FinancialPosition'!H16/'1.FinancialPosition'!H31</f>
        <v>1.374509778380238</v>
      </c>
      <c r="I18" s="158" t="str">
        <f>IF(H18+G18&gt;0,IF(H18&gt;G18,"▲",IF(H18=G18,"▬","▼")),IF(H18&gt;G18,"▼",IF(H18=G18,"▬","▲")))</f>
        <v>▲</v>
      </c>
      <c r="J18" s="169">
        <f t="shared" si="10"/>
        <v>1.6589904099612474E-2</v>
      </c>
      <c r="K18" s="170">
        <f t="shared" si="3"/>
        <v>1.2217145071539148E-2</v>
      </c>
    </row>
    <row r="19" spans="1:14" x14ac:dyDescent="0.25">
      <c r="A19" s="24" t="s">
        <v>239</v>
      </c>
      <c r="B19" s="142"/>
      <c r="C19" s="142"/>
      <c r="D19" s="142"/>
      <c r="E19" s="142"/>
      <c r="F19" s="142"/>
      <c r="G19" s="142"/>
      <c r="H19" s="142"/>
      <c r="I19" s="82"/>
    </row>
    <row r="20" spans="1:14" x14ac:dyDescent="0.25">
      <c r="I20" s="53"/>
    </row>
    <row r="21" spans="1:14" x14ac:dyDescent="0.25">
      <c r="A21" s="224" t="s">
        <v>202</v>
      </c>
      <c r="B21" s="224"/>
      <c r="C21" s="224"/>
      <c r="D21" s="224"/>
      <c r="E21" s="224"/>
      <c r="F21" s="224"/>
      <c r="G21" s="224"/>
      <c r="H21" s="224"/>
      <c r="I21" s="224"/>
      <c r="L21" s="78"/>
      <c r="N21" s="79">
        <f>H4/B4-1</f>
        <v>5.7539137918767747E-2</v>
      </c>
    </row>
    <row r="22" spans="1:14" x14ac:dyDescent="0.25">
      <c r="A22" s="224"/>
      <c r="B22" s="224"/>
      <c r="C22" s="224"/>
      <c r="D22" s="224"/>
      <c r="E22" s="224"/>
      <c r="F22" s="224"/>
      <c r="G22" s="224"/>
      <c r="H22" s="224"/>
      <c r="I22" s="224"/>
    </row>
    <row r="23" spans="1:14" x14ac:dyDescent="0.25">
      <c r="A23" s="224" t="s">
        <v>203</v>
      </c>
      <c r="B23" s="224"/>
      <c r="C23" s="224"/>
      <c r="D23" s="224"/>
      <c r="E23" s="224"/>
      <c r="F23" s="224"/>
      <c r="G23" s="224"/>
      <c r="H23" s="224"/>
      <c r="I23" s="224"/>
      <c r="J23" s="224"/>
    </row>
    <row r="24" spans="1:14" x14ac:dyDescent="0.25">
      <c r="A24" s="224"/>
      <c r="B24" s="224"/>
      <c r="C24" s="224"/>
      <c r="D24" s="224"/>
      <c r="E24" s="224"/>
      <c r="F24" s="224"/>
      <c r="G24" s="224"/>
      <c r="H24" s="224"/>
      <c r="I24" s="224"/>
      <c r="J24" s="224"/>
    </row>
    <row r="27" spans="1:14" x14ac:dyDescent="0.25">
      <c r="H27" s="69"/>
    </row>
    <row r="28" spans="1:14" x14ac:dyDescent="0.25">
      <c r="H28" s="69"/>
    </row>
    <row r="29" spans="1:14" x14ac:dyDescent="0.25">
      <c r="H29" s="69"/>
    </row>
    <row r="30" spans="1:14" x14ac:dyDescent="0.25">
      <c r="H30" s="69"/>
    </row>
    <row r="31" spans="1:14" x14ac:dyDescent="0.25">
      <c r="H31" s="69"/>
    </row>
    <row r="32" spans="1:14" x14ac:dyDescent="0.25">
      <c r="H32" s="69"/>
    </row>
    <row r="33" spans="2:8" x14ac:dyDescent="0.25">
      <c r="H33" s="69"/>
    </row>
    <row r="34" spans="2:8" x14ac:dyDescent="0.25">
      <c r="H34" s="69"/>
    </row>
    <row r="35" spans="2:8" x14ac:dyDescent="0.25">
      <c r="H35" s="69"/>
    </row>
    <row r="36" spans="2:8" x14ac:dyDescent="0.25">
      <c r="H36" s="69"/>
    </row>
    <row r="37" spans="2:8" x14ac:dyDescent="0.25">
      <c r="H37" s="69"/>
    </row>
    <row r="38" spans="2:8" x14ac:dyDescent="0.25">
      <c r="H38" s="69"/>
    </row>
    <row r="39" spans="2:8" x14ac:dyDescent="0.25">
      <c r="H39" s="69"/>
    </row>
    <row r="40" spans="2:8" x14ac:dyDescent="0.25">
      <c r="H40" s="82"/>
    </row>
    <row r="41" spans="2:8" x14ac:dyDescent="0.25">
      <c r="H41" s="82"/>
    </row>
    <row r="45" spans="2:8" x14ac:dyDescent="0.25">
      <c r="B45" s="124"/>
      <c r="C45" s="124"/>
      <c r="D45" s="124"/>
      <c r="E45" s="124"/>
      <c r="F45" s="124"/>
      <c r="G45" s="124"/>
      <c r="H45" s="124"/>
    </row>
    <row r="46" spans="2:8" x14ac:dyDescent="0.25">
      <c r="B46" s="124"/>
      <c r="C46" s="124"/>
      <c r="D46" s="124"/>
      <c r="E46" s="124"/>
      <c r="F46" s="124"/>
      <c r="G46" s="124"/>
      <c r="H46" s="124"/>
    </row>
    <row r="47" spans="2:8" x14ac:dyDescent="0.25">
      <c r="B47" s="124"/>
      <c r="C47" s="124"/>
      <c r="D47" s="124"/>
      <c r="E47" s="124"/>
      <c r="F47" s="124"/>
      <c r="G47" s="124"/>
      <c r="H47" s="124"/>
    </row>
    <row r="48" spans="2:8" x14ac:dyDescent="0.25">
      <c r="B48" s="124"/>
      <c r="C48" s="124"/>
      <c r="D48" s="124"/>
      <c r="E48" s="124"/>
      <c r="F48" s="124"/>
      <c r="G48" s="124"/>
      <c r="H48" s="124"/>
    </row>
    <row r="49" spans="2:8" x14ac:dyDescent="0.25">
      <c r="B49" s="124"/>
      <c r="C49" s="124"/>
      <c r="D49" s="124"/>
      <c r="E49" s="124"/>
      <c r="F49" s="124"/>
      <c r="G49" s="124"/>
      <c r="H49" s="124"/>
    </row>
    <row r="50" spans="2:8" x14ac:dyDescent="0.25">
      <c r="B50" s="124"/>
      <c r="C50" s="124"/>
      <c r="D50" s="124"/>
      <c r="E50" s="124"/>
      <c r="F50" s="124"/>
      <c r="G50" s="124"/>
      <c r="H50" s="124"/>
    </row>
    <row r="51" spans="2:8" x14ac:dyDescent="0.25">
      <c r="B51" s="124"/>
      <c r="C51" s="124"/>
      <c r="D51" s="124"/>
      <c r="E51" s="124"/>
      <c r="F51" s="124"/>
      <c r="G51" s="124"/>
      <c r="H51" s="124"/>
    </row>
    <row r="52" spans="2:8" x14ac:dyDescent="0.25">
      <c r="B52" s="124"/>
      <c r="C52" s="124"/>
      <c r="D52" s="124"/>
      <c r="E52" s="124"/>
      <c r="F52" s="124"/>
      <c r="G52" s="124"/>
      <c r="H52" s="124"/>
    </row>
    <row r="53" spans="2:8" x14ac:dyDescent="0.25">
      <c r="B53" s="124"/>
      <c r="C53" s="124"/>
      <c r="D53" s="124"/>
      <c r="E53" s="124"/>
      <c r="F53" s="124"/>
      <c r="G53" s="124"/>
      <c r="H53" s="124"/>
    </row>
    <row r="54" spans="2:8" x14ac:dyDescent="0.25">
      <c r="B54" s="124"/>
      <c r="C54" s="124"/>
      <c r="D54" s="124"/>
      <c r="E54" s="124"/>
      <c r="F54" s="124"/>
      <c r="G54" s="124"/>
      <c r="H54" s="124"/>
    </row>
    <row r="55" spans="2:8" x14ac:dyDescent="0.25">
      <c r="B55" s="124"/>
      <c r="C55" s="124"/>
      <c r="D55" s="124"/>
      <c r="E55" s="124"/>
      <c r="F55" s="124"/>
      <c r="G55" s="124"/>
      <c r="H55" s="124"/>
    </row>
    <row r="56" spans="2:8" x14ac:dyDescent="0.25">
      <c r="B56" s="124"/>
      <c r="C56" s="124"/>
      <c r="D56" s="124"/>
      <c r="E56" s="124"/>
      <c r="F56" s="124"/>
      <c r="G56" s="124"/>
      <c r="H56" s="124"/>
    </row>
    <row r="57" spans="2:8" x14ac:dyDescent="0.25">
      <c r="B57" s="124"/>
      <c r="C57" s="124"/>
      <c r="D57" s="124"/>
      <c r="E57" s="124"/>
      <c r="F57" s="124"/>
      <c r="G57" s="124"/>
      <c r="H57" s="124"/>
    </row>
    <row r="58" spans="2:8" x14ac:dyDescent="0.25">
      <c r="B58" s="124"/>
      <c r="C58" s="124"/>
      <c r="D58" s="124"/>
      <c r="E58" s="124"/>
      <c r="F58" s="124"/>
      <c r="G58" s="124"/>
      <c r="H58" s="124"/>
    </row>
    <row r="59" spans="2:8" x14ac:dyDescent="0.25">
      <c r="B59" s="124"/>
      <c r="C59" s="124"/>
      <c r="D59" s="124"/>
      <c r="E59" s="124"/>
      <c r="F59" s="124"/>
      <c r="G59" s="124"/>
      <c r="H59" s="124"/>
    </row>
    <row r="60" spans="2:8" x14ac:dyDescent="0.25">
      <c r="B60" s="124"/>
      <c r="C60" s="124"/>
      <c r="D60" s="124"/>
      <c r="E60" s="124"/>
      <c r="F60" s="124"/>
      <c r="G60" s="124"/>
      <c r="H60" s="124"/>
    </row>
    <row r="61" spans="2:8" x14ac:dyDescent="0.25">
      <c r="B61" s="124"/>
      <c r="C61" s="124"/>
      <c r="D61" s="124"/>
      <c r="E61" s="124"/>
      <c r="F61" s="124"/>
      <c r="G61" s="124"/>
      <c r="H61" s="124"/>
    </row>
    <row r="62" spans="2:8" x14ac:dyDescent="0.25">
      <c r="B62" s="124"/>
      <c r="C62" s="124"/>
      <c r="D62" s="124"/>
      <c r="E62" s="124"/>
      <c r="F62" s="124"/>
      <c r="G62" s="124"/>
      <c r="H62" s="124"/>
    </row>
    <row r="63" spans="2:8" x14ac:dyDescent="0.25">
      <c r="B63" s="124"/>
      <c r="C63" s="124"/>
      <c r="D63" s="124"/>
      <c r="E63" s="124"/>
      <c r="F63" s="124"/>
      <c r="G63" s="124"/>
      <c r="H63" s="124"/>
    </row>
    <row r="64" spans="2:8" x14ac:dyDescent="0.25">
      <c r="B64" s="124"/>
      <c r="C64" s="124"/>
      <c r="D64" s="124"/>
      <c r="E64" s="124"/>
      <c r="F64" s="124"/>
      <c r="G64" s="124"/>
      <c r="H64" s="124"/>
    </row>
  </sheetData>
  <mergeCells count="3">
    <mergeCell ref="I3:K3"/>
    <mergeCell ref="A21:I22"/>
    <mergeCell ref="A23:J24"/>
  </mergeCells>
  <conditionalFormatting sqref="I4:I15">
    <cfRule type="expression" dxfId="27" priority="2">
      <formula>H4&lt;G4</formula>
    </cfRule>
    <cfRule type="expression" dxfId="26" priority="3">
      <formula>H4&gt;G4</formula>
    </cfRule>
  </conditionalFormatting>
  <conditionalFormatting sqref="I4:I18">
    <cfRule type="expression" dxfId="25" priority="1">
      <formula>H4=G4</formula>
    </cfRule>
  </conditionalFormatting>
  <conditionalFormatting sqref="I16:I17">
    <cfRule type="expression" dxfId="24" priority="57">
      <formula>H16&gt;G16</formula>
    </cfRule>
    <cfRule type="expression" dxfId="23" priority="58">
      <formula>H1&lt;G16</formula>
    </cfRule>
  </conditionalFormatting>
  <conditionalFormatting sqref="I18">
    <cfRule type="expression" dxfId="22" priority="11">
      <formula>H18&lt;G18</formula>
    </cfRule>
    <cfRule type="expression" dxfId="21" priority="12">
      <formula>H18&gt;G18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35"/>
  <sheetViews>
    <sheetView showGridLines="0" zoomScaleNormal="100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N9" sqref="N9"/>
    </sheetView>
  </sheetViews>
  <sheetFormatPr defaultColWidth="9.140625" defaultRowHeight="15" x14ac:dyDescent="0.25"/>
  <cols>
    <col min="1" max="1" width="55.5703125" style="1" customWidth="1"/>
    <col min="2" max="2" width="12.85546875" style="1" bestFit="1" customWidth="1"/>
    <col min="3" max="3" width="13.28515625" style="1" bestFit="1" customWidth="1"/>
    <col min="4" max="4" width="12.85546875" style="1" bestFit="1" customWidth="1"/>
    <col min="5" max="6" width="13.140625" style="1" bestFit="1" customWidth="1"/>
    <col min="7" max="7" width="13.28515625" style="1" bestFit="1" customWidth="1"/>
    <col min="8" max="8" width="12.5703125" style="1" bestFit="1" customWidth="1"/>
    <col min="9" max="9" width="7.5703125" style="1" bestFit="1" customWidth="1"/>
    <col min="10" max="10" width="11" style="1" bestFit="1" customWidth="1"/>
    <col min="11" max="11" width="3" style="1" bestFit="1" customWidth="1"/>
    <col min="12" max="12" width="10.42578125" style="1" bestFit="1" customWidth="1"/>
    <col min="13" max="13" width="9.140625" style="1"/>
    <col min="14" max="14" width="13.5703125" style="1" bestFit="1" customWidth="1"/>
    <col min="15" max="15" width="11.140625" style="1" bestFit="1" customWidth="1"/>
    <col min="16" max="16" width="12.85546875" style="1" bestFit="1" customWidth="1"/>
    <col min="17" max="17" width="13.140625" style="1" bestFit="1" customWidth="1"/>
    <col min="18" max="18" width="12.140625" style="1" bestFit="1" customWidth="1"/>
    <col min="19" max="16384" width="9.140625" style="1"/>
  </cols>
  <sheetData>
    <row r="2" spans="1:18" x14ac:dyDescent="0.25">
      <c r="H2" s="53" t="s">
        <v>259</v>
      </c>
    </row>
    <row r="3" spans="1:18" ht="28.5" x14ac:dyDescent="0.25">
      <c r="A3" s="97" t="s">
        <v>0</v>
      </c>
      <c r="B3" s="98">
        <v>2019</v>
      </c>
      <c r="C3" s="98">
        <f t="shared" ref="C3" si="0">B3+1</f>
        <v>2020</v>
      </c>
      <c r="D3" s="98">
        <f t="shared" ref="D3" si="1">C3+1</f>
        <v>2021</v>
      </c>
      <c r="E3" s="98">
        <f t="shared" ref="E3" si="2">D3+1</f>
        <v>2022</v>
      </c>
      <c r="F3" s="98">
        <f t="shared" ref="F3" si="3">E3+1</f>
        <v>2023</v>
      </c>
      <c r="G3" s="98">
        <f t="shared" ref="G3" si="4">F3+1</f>
        <v>2024</v>
      </c>
      <c r="H3" s="98">
        <f t="shared" ref="H3" si="5">G3+1</f>
        <v>2025</v>
      </c>
      <c r="I3" s="99" t="s">
        <v>260</v>
      </c>
      <c r="J3" s="225" t="str">
        <f>CONCATENATE(H3," vs. ",G3)</f>
        <v>2025 vs. 2024</v>
      </c>
      <c r="K3" s="225"/>
      <c r="L3" s="225"/>
      <c r="Q3" s="53"/>
    </row>
    <row r="4" spans="1:18" x14ac:dyDescent="0.25">
      <c r="A4" s="2" t="s">
        <v>1</v>
      </c>
      <c r="B4" s="12">
        <v>122648083.71000001</v>
      </c>
      <c r="C4" s="12">
        <v>113644666.37</v>
      </c>
      <c r="D4" s="12">
        <v>106567874</v>
      </c>
      <c r="E4" s="12">
        <v>102490667</v>
      </c>
      <c r="F4" s="12">
        <v>106808714</v>
      </c>
      <c r="G4" s="12">
        <v>113487855</v>
      </c>
      <c r="H4" s="12">
        <v>120973615</v>
      </c>
      <c r="I4" s="57">
        <f>H4/$H$17</f>
        <v>0.5056547963713286</v>
      </c>
      <c r="J4" s="58">
        <f>H4-G4</f>
        <v>7485760</v>
      </c>
      <c r="K4" s="57" t="str">
        <f>IF(H4&gt;G4,"▲",IF(H4=G4,"▬","▼"))</f>
        <v>▲</v>
      </c>
      <c r="L4" s="57">
        <f>H4/G4-100%</f>
        <v>6.5960890705000885E-2</v>
      </c>
      <c r="O4" s="33"/>
      <c r="P4" s="73"/>
      <c r="Q4" s="73"/>
      <c r="R4" s="73"/>
    </row>
    <row r="5" spans="1:18" x14ac:dyDescent="0.25">
      <c r="A5" s="3" t="s">
        <v>2</v>
      </c>
      <c r="B5" s="15">
        <v>13432444</v>
      </c>
      <c r="C5" s="15">
        <v>11885345.9</v>
      </c>
      <c r="D5" s="15">
        <v>10894586</v>
      </c>
      <c r="E5" s="15">
        <v>9883738</v>
      </c>
      <c r="F5" s="15">
        <v>10857912</v>
      </c>
      <c r="G5" s="15">
        <v>11909857</v>
      </c>
      <c r="H5" s="15">
        <v>7361452</v>
      </c>
      <c r="I5" s="57">
        <f t="shared" ref="I5:I33" si="6">H5/$H$17</f>
        <v>3.0769961797515184E-2</v>
      </c>
      <c r="J5" s="58">
        <f t="shared" ref="J5:J33" si="7">H5-G5</f>
        <v>-4548405</v>
      </c>
      <c r="K5" s="57" t="str">
        <f t="shared" ref="K5:K33" si="8">IF(H5&gt;G5,"▲",IF(H5=G5,"▬","▼"))</f>
        <v>▼</v>
      </c>
      <c r="L5" s="57">
        <f t="shared" ref="L5:L33" si="9">H5/G5-100%</f>
        <v>-0.38190257028274988</v>
      </c>
      <c r="O5" s="33"/>
      <c r="P5" s="73"/>
      <c r="Q5" s="73"/>
      <c r="R5" s="73"/>
    </row>
    <row r="6" spans="1:18" x14ac:dyDescent="0.25">
      <c r="A6" s="2" t="s">
        <v>210</v>
      </c>
      <c r="B6" s="12">
        <v>314136.3200000003</v>
      </c>
      <c r="C6" s="12">
        <v>302737.3899999999</v>
      </c>
      <c r="D6" s="12">
        <v>294483</v>
      </c>
      <c r="E6" s="12">
        <v>330920</v>
      </c>
      <c r="F6" s="12">
        <v>809485</v>
      </c>
      <c r="G6" s="12">
        <v>573640</v>
      </c>
      <c r="H6" s="12">
        <v>401283</v>
      </c>
      <c r="I6" s="57">
        <f t="shared" si="6"/>
        <v>1.6773134675050908E-3</v>
      </c>
      <c r="J6" s="58">
        <f t="shared" si="7"/>
        <v>-172357</v>
      </c>
      <c r="K6" s="57" t="str">
        <f t="shared" si="8"/>
        <v>▼</v>
      </c>
      <c r="L6" s="57">
        <f t="shared" si="9"/>
        <v>-0.30046196220626176</v>
      </c>
      <c r="O6" s="33"/>
      <c r="P6" s="73"/>
      <c r="Q6" s="73"/>
      <c r="R6" s="73"/>
    </row>
    <row r="7" spans="1:18" x14ac:dyDescent="0.25">
      <c r="A7" s="2" t="s">
        <v>211</v>
      </c>
      <c r="B7" s="12">
        <v>27085580.900000002</v>
      </c>
      <c r="C7" s="12">
        <v>27085181.400000002</v>
      </c>
      <c r="D7" s="12">
        <v>20607559</v>
      </c>
      <c r="E7" s="12">
        <v>20608559</v>
      </c>
      <c r="F7" s="12">
        <v>460594</v>
      </c>
      <c r="G7" s="12">
        <v>417181</v>
      </c>
      <c r="H7" s="12">
        <v>342439</v>
      </c>
      <c r="I7" s="57">
        <f t="shared" si="6"/>
        <v>1.4313528021345928E-3</v>
      </c>
      <c r="J7" s="58">
        <f t="shared" si="7"/>
        <v>-74742</v>
      </c>
      <c r="K7" s="57" t="str">
        <f t="shared" si="8"/>
        <v>▼</v>
      </c>
      <c r="L7" s="57">
        <f t="shared" si="9"/>
        <v>-0.17915964533379991</v>
      </c>
      <c r="O7" s="33"/>
      <c r="P7" s="73"/>
      <c r="Q7" s="73"/>
      <c r="R7" s="73"/>
    </row>
    <row r="8" spans="1:18" x14ac:dyDescent="0.25">
      <c r="A8" s="100" t="s">
        <v>3</v>
      </c>
      <c r="B8" s="126">
        <f>SUM(B4:B7)</f>
        <v>163480244.93000001</v>
      </c>
      <c r="C8" s="126">
        <f>SUM(C4:C7)-1</f>
        <v>152917930.06</v>
      </c>
      <c r="D8" s="126">
        <f>SUM(D4:D7)</f>
        <v>138364502</v>
      </c>
      <c r="E8" s="126">
        <f>SUM(E4:E7)</f>
        <v>133313884</v>
      </c>
      <c r="F8" s="126">
        <f>SUM(F4:F7)</f>
        <v>118936705</v>
      </c>
      <c r="G8" s="126">
        <f>SUM(G4:G7)</f>
        <v>126388533</v>
      </c>
      <c r="H8" s="126">
        <f>SUM(H4:H7)</f>
        <v>129078789</v>
      </c>
      <c r="I8" s="102">
        <f t="shared" si="6"/>
        <v>0.53953342443848351</v>
      </c>
      <c r="J8" s="101">
        <f t="shared" si="7"/>
        <v>2690256</v>
      </c>
      <c r="K8" s="103" t="str">
        <f t="shared" si="8"/>
        <v>▲</v>
      </c>
      <c r="L8" s="102">
        <f t="shared" si="9"/>
        <v>2.1285601914534436E-2</v>
      </c>
      <c r="O8" s="33"/>
      <c r="P8" s="73"/>
      <c r="Q8" s="73"/>
      <c r="R8" s="73"/>
    </row>
    <row r="9" spans="1:18" x14ac:dyDescent="0.25">
      <c r="A9" s="2" t="s">
        <v>212</v>
      </c>
      <c r="B9" s="12">
        <v>25346354.789999992</v>
      </c>
      <c r="C9" s="12">
        <v>22285772.819999997</v>
      </c>
      <c r="D9" s="12">
        <v>27647514</v>
      </c>
      <c r="E9" s="12">
        <v>29963708</v>
      </c>
      <c r="F9" s="12">
        <v>30951095</v>
      </c>
      <c r="G9" s="12">
        <v>38329846</v>
      </c>
      <c r="H9" s="12">
        <v>32335324</v>
      </c>
      <c r="I9" s="57">
        <f t="shared" si="6"/>
        <v>0.13515766783377464</v>
      </c>
      <c r="J9" s="58">
        <f t="shared" si="7"/>
        <v>-5994522</v>
      </c>
      <c r="K9" s="57" t="str">
        <f t="shared" si="8"/>
        <v>▼</v>
      </c>
      <c r="L9" s="57">
        <f t="shared" si="9"/>
        <v>-0.15639306247147455</v>
      </c>
      <c r="O9" s="33"/>
      <c r="P9" s="73"/>
      <c r="Q9" s="73"/>
      <c r="R9" s="73"/>
    </row>
    <row r="10" spans="1:18" x14ac:dyDescent="0.25">
      <c r="A10" s="2" t="s">
        <v>213</v>
      </c>
      <c r="B10" s="12">
        <v>45865813.140000001</v>
      </c>
      <c r="C10" s="12">
        <v>36839898.379999995</v>
      </c>
      <c r="D10" s="12">
        <v>57999727</v>
      </c>
      <c r="E10" s="12">
        <v>63653763</v>
      </c>
      <c r="F10" s="12">
        <v>55388563</v>
      </c>
      <c r="G10" s="12">
        <v>57139837</v>
      </c>
      <c r="H10" s="12">
        <v>54880547</v>
      </c>
      <c r="I10" s="57">
        <f t="shared" si="6"/>
        <v>0.22939392046796428</v>
      </c>
      <c r="J10" s="58">
        <f t="shared" si="7"/>
        <v>-2259290</v>
      </c>
      <c r="K10" s="57" t="str">
        <f t="shared" si="8"/>
        <v>▼</v>
      </c>
      <c r="L10" s="57">
        <f t="shared" si="9"/>
        <v>-3.9539664770132266E-2</v>
      </c>
      <c r="O10" s="33"/>
      <c r="P10" s="73"/>
      <c r="Q10" s="73"/>
      <c r="R10" s="73"/>
    </row>
    <row r="11" spans="1:18" x14ac:dyDescent="0.25">
      <c r="A11" s="2" t="s">
        <v>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57">
        <f t="shared" si="6"/>
        <v>0</v>
      </c>
      <c r="J11" s="58">
        <f t="shared" si="7"/>
        <v>0</v>
      </c>
      <c r="K11" s="57" t="str">
        <f t="shared" si="8"/>
        <v>▬</v>
      </c>
      <c r="L11" s="57" t="e">
        <f t="shared" si="9"/>
        <v>#DIV/0!</v>
      </c>
      <c r="O11" s="33"/>
      <c r="P11" s="73"/>
      <c r="Q11" s="73"/>
      <c r="R11" s="73"/>
    </row>
    <row r="12" spans="1:18" x14ac:dyDescent="0.25">
      <c r="A12" s="4" t="s">
        <v>214</v>
      </c>
      <c r="B12" s="153">
        <v>335912.13</v>
      </c>
      <c r="C12" s="153">
        <v>570774.49</v>
      </c>
      <c r="D12" s="153">
        <v>1265317</v>
      </c>
      <c r="E12" s="153">
        <v>42738851</v>
      </c>
      <c r="F12" s="153">
        <v>5929217</v>
      </c>
      <c r="G12" s="153">
        <v>5479249</v>
      </c>
      <c r="H12" s="153">
        <v>4843142</v>
      </c>
      <c r="I12" s="57">
        <f t="shared" si="6"/>
        <v>2.0243736469373337E-2</v>
      </c>
      <c r="J12" s="58">
        <f t="shared" si="7"/>
        <v>-636107</v>
      </c>
      <c r="K12" s="57" t="str">
        <f t="shared" si="8"/>
        <v>▼</v>
      </c>
      <c r="L12" s="57">
        <f t="shared" si="9"/>
        <v>-0.11609382964709214</v>
      </c>
      <c r="O12" s="33"/>
      <c r="P12" s="73"/>
      <c r="Q12" s="73"/>
      <c r="R12" s="73"/>
    </row>
    <row r="13" spans="1:18" x14ac:dyDescent="0.25">
      <c r="A13" s="2" t="s">
        <v>215</v>
      </c>
      <c r="B13" s="12">
        <v>1249969.46</v>
      </c>
      <c r="C13" s="12">
        <v>1080363.21</v>
      </c>
      <c r="D13" s="12">
        <v>2187278</v>
      </c>
      <c r="E13" s="12">
        <v>3864347</v>
      </c>
      <c r="F13" s="12">
        <v>546176</v>
      </c>
      <c r="G13" s="12">
        <v>1079739</v>
      </c>
      <c r="H13" s="12">
        <v>507149</v>
      </c>
      <c r="I13" s="57">
        <f t="shared" si="6"/>
        <v>2.119820295730792E-3</v>
      </c>
      <c r="J13" s="58">
        <f t="shared" si="7"/>
        <v>-572590</v>
      </c>
      <c r="K13" s="57" t="str">
        <f t="shared" si="8"/>
        <v>▼</v>
      </c>
      <c r="L13" s="57"/>
      <c r="O13" s="33"/>
      <c r="P13" s="73"/>
      <c r="Q13" s="73"/>
      <c r="R13" s="73"/>
    </row>
    <row r="14" spans="1:18" x14ac:dyDescent="0.25">
      <c r="A14" s="2" t="s">
        <v>216</v>
      </c>
      <c r="B14" s="12">
        <v>5549445.1199999992</v>
      </c>
      <c r="C14" s="12">
        <v>17588598.129999999</v>
      </c>
      <c r="D14" s="12">
        <v>12798377</v>
      </c>
      <c r="E14" s="12">
        <v>2772709</v>
      </c>
      <c r="F14" s="12">
        <v>29382497</v>
      </c>
      <c r="G14" s="12">
        <v>8566957</v>
      </c>
      <c r="H14" s="12">
        <v>17596555</v>
      </c>
      <c r="I14" s="57">
        <f t="shared" si="6"/>
        <v>7.3551430494673442E-2</v>
      </c>
      <c r="J14" s="58">
        <f t="shared" si="7"/>
        <v>9029598</v>
      </c>
      <c r="K14" s="57" t="str">
        <f t="shared" si="8"/>
        <v>▲</v>
      </c>
      <c r="L14" s="57">
        <f t="shared" si="9"/>
        <v>1.0540029557753119</v>
      </c>
      <c r="O14" s="33"/>
      <c r="P14" s="73"/>
      <c r="Q14" s="73"/>
      <c r="R14" s="73"/>
    </row>
    <row r="15" spans="1:18" x14ac:dyDescent="0.25">
      <c r="A15" s="2" t="s">
        <v>217</v>
      </c>
      <c r="B15" s="12">
        <v>4367165.95</v>
      </c>
      <c r="C15" s="12">
        <v>70844.84</v>
      </c>
      <c r="D15" s="12">
        <v>3760155</v>
      </c>
      <c r="E15" s="12">
        <v>3760155</v>
      </c>
      <c r="F15" s="12">
        <v>0</v>
      </c>
      <c r="G15" s="12">
        <v>0</v>
      </c>
      <c r="H15" s="12"/>
      <c r="I15" s="57">
        <f t="shared" si="6"/>
        <v>0</v>
      </c>
      <c r="J15" s="58">
        <f t="shared" si="7"/>
        <v>0</v>
      </c>
      <c r="K15" s="57" t="str">
        <f t="shared" si="8"/>
        <v>▬</v>
      </c>
      <c r="L15" s="57" t="e">
        <f t="shared" si="9"/>
        <v>#DIV/0!</v>
      </c>
      <c r="O15" s="33"/>
      <c r="P15" s="73"/>
      <c r="Q15" s="73"/>
      <c r="R15" s="73"/>
    </row>
    <row r="16" spans="1:18" x14ac:dyDescent="0.25">
      <c r="A16" s="100" t="s">
        <v>5</v>
      </c>
      <c r="B16" s="126">
        <f>SUM(B9:B15)-1</f>
        <v>82714659.589999989</v>
      </c>
      <c r="C16" s="126">
        <f>SUM(C9:C15)-1</f>
        <v>78436250.86999999</v>
      </c>
      <c r="D16" s="126">
        <f>SUM(D9:D15)</f>
        <v>105658368</v>
      </c>
      <c r="E16" s="126">
        <f>SUM(E9:E15)</f>
        <v>146753533</v>
      </c>
      <c r="F16" s="126">
        <f>SUM(F9:F15)</f>
        <v>122197548</v>
      </c>
      <c r="G16" s="126">
        <f>SUM(G9:G15)</f>
        <v>110595628</v>
      </c>
      <c r="H16" s="126">
        <f>SUM(H9:H15)</f>
        <v>110162717</v>
      </c>
      <c r="I16" s="102">
        <f t="shared" si="6"/>
        <v>0.46046657556151649</v>
      </c>
      <c r="J16" s="101">
        <f t="shared" si="7"/>
        <v>-432911</v>
      </c>
      <c r="K16" s="103" t="str">
        <f t="shared" si="8"/>
        <v>▼</v>
      </c>
      <c r="L16" s="102">
        <f t="shared" si="9"/>
        <v>-3.9143590739409984E-3</v>
      </c>
      <c r="O16" s="33"/>
      <c r="P16" s="73"/>
      <c r="Q16" s="73"/>
      <c r="R16" s="73"/>
    </row>
    <row r="17" spans="1:18" x14ac:dyDescent="0.25">
      <c r="A17" s="100" t="s">
        <v>6</v>
      </c>
      <c r="B17" s="126">
        <f t="shared" ref="B17:H17" si="10">B16+B8</f>
        <v>246194904.51999998</v>
      </c>
      <c r="C17" s="126">
        <f t="shared" si="10"/>
        <v>231354180.93000001</v>
      </c>
      <c r="D17" s="126">
        <f t="shared" si="10"/>
        <v>244022870</v>
      </c>
      <c r="E17" s="126">
        <f t="shared" si="10"/>
        <v>280067417</v>
      </c>
      <c r="F17" s="126">
        <f t="shared" si="10"/>
        <v>241134253</v>
      </c>
      <c r="G17" s="126">
        <f t="shared" si="10"/>
        <v>236984161</v>
      </c>
      <c r="H17" s="126">
        <f t="shared" si="10"/>
        <v>239241506</v>
      </c>
      <c r="I17" s="102">
        <f t="shared" si="6"/>
        <v>1</v>
      </c>
      <c r="J17" s="101">
        <f t="shared" si="7"/>
        <v>2257345</v>
      </c>
      <c r="K17" s="103" t="str">
        <f t="shared" si="8"/>
        <v>▲</v>
      </c>
      <c r="L17" s="102">
        <f t="shared" si="9"/>
        <v>9.5252990346472721E-3</v>
      </c>
      <c r="O17" s="33"/>
      <c r="P17" s="73"/>
      <c r="Q17" s="73"/>
      <c r="R17" s="73"/>
    </row>
    <row r="18" spans="1:18" x14ac:dyDescent="0.25">
      <c r="A18" s="2" t="s">
        <v>7</v>
      </c>
      <c r="B18" s="12">
        <v>26412209.600000001</v>
      </c>
      <c r="C18" s="12">
        <v>26412209.600000001</v>
      </c>
      <c r="D18" s="12">
        <v>26412210</v>
      </c>
      <c r="E18" s="12">
        <v>26412210</v>
      </c>
      <c r="F18" s="12">
        <v>52824419</v>
      </c>
      <c r="G18" s="12">
        <v>52824419</v>
      </c>
      <c r="H18" s="12">
        <v>52824419</v>
      </c>
      <c r="I18" s="57">
        <f t="shared" si="6"/>
        <v>0.22079955891934572</v>
      </c>
      <c r="J18" s="58">
        <f t="shared" si="7"/>
        <v>0</v>
      </c>
      <c r="K18" s="57" t="str">
        <f t="shared" si="8"/>
        <v>▬</v>
      </c>
      <c r="L18" s="57">
        <f t="shared" si="9"/>
        <v>0</v>
      </c>
      <c r="O18" s="33"/>
      <c r="P18" s="73"/>
      <c r="Q18" s="73"/>
      <c r="R18" s="73"/>
    </row>
    <row r="19" spans="1:18" x14ac:dyDescent="0.25">
      <c r="A19" s="2" t="s">
        <v>8</v>
      </c>
      <c r="B19" s="12">
        <v>2182283.29</v>
      </c>
      <c r="C19" s="12">
        <v>2182283.29</v>
      </c>
      <c r="D19" s="12">
        <v>2182283</v>
      </c>
      <c r="E19" s="12">
        <v>2182283</v>
      </c>
      <c r="F19" s="12">
        <v>2182283</v>
      </c>
      <c r="G19" s="12">
        <v>2182283</v>
      </c>
      <c r="H19" s="12">
        <v>2182283</v>
      </c>
      <c r="I19" s="57">
        <f t="shared" si="6"/>
        <v>9.1216738954987189E-3</v>
      </c>
      <c r="J19" s="58">
        <f t="shared" si="7"/>
        <v>0</v>
      </c>
      <c r="K19" s="57" t="str">
        <f t="shared" si="8"/>
        <v>▬</v>
      </c>
      <c r="L19" s="57">
        <f t="shared" si="9"/>
        <v>0</v>
      </c>
      <c r="O19" s="33"/>
      <c r="P19" s="73"/>
      <c r="Q19" s="73"/>
      <c r="R19" s="73"/>
    </row>
    <row r="20" spans="1:18" x14ac:dyDescent="0.25">
      <c r="A20" s="2" t="s">
        <v>218</v>
      </c>
      <c r="B20" s="12">
        <v>58845304.939999998</v>
      </c>
      <c r="C20" s="12">
        <v>59466596.82</v>
      </c>
      <c r="D20" s="12">
        <v>58542209</v>
      </c>
      <c r="E20" s="12">
        <v>60895474.780000001</v>
      </c>
      <c r="F20" s="12">
        <v>63215703</v>
      </c>
      <c r="G20" s="12">
        <v>62684059</v>
      </c>
      <c r="H20" s="12">
        <v>62099962</v>
      </c>
      <c r="I20" s="57">
        <f t="shared" si="6"/>
        <v>0.25957018511662439</v>
      </c>
      <c r="J20" s="58">
        <f t="shared" si="7"/>
        <v>-584097</v>
      </c>
      <c r="K20" s="57" t="str">
        <f t="shared" si="8"/>
        <v>▼</v>
      </c>
      <c r="L20" s="57">
        <f t="shared" si="9"/>
        <v>-9.3181106858444274E-3</v>
      </c>
      <c r="O20" s="33"/>
      <c r="P20" s="73"/>
      <c r="Q20" s="73"/>
      <c r="R20" s="73"/>
    </row>
    <row r="21" spans="1:18" x14ac:dyDescent="0.25">
      <c r="A21" s="2" t="s">
        <v>9</v>
      </c>
      <c r="B21" s="12">
        <v>49614453.969999999</v>
      </c>
      <c r="C21" s="12">
        <v>50151452.529999994</v>
      </c>
      <c r="D21" s="12">
        <v>47008179</v>
      </c>
      <c r="E21" s="12">
        <v>70732989.219999999</v>
      </c>
      <c r="F21" s="12">
        <v>32593737</v>
      </c>
      <c r="G21" s="12">
        <v>24677854</v>
      </c>
      <c r="H21" s="12">
        <v>25506852</v>
      </c>
      <c r="I21" s="57">
        <f t="shared" si="6"/>
        <v>0.10661549672739479</v>
      </c>
      <c r="J21" s="58">
        <f t="shared" si="7"/>
        <v>828998</v>
      </c>
      <c r="K21" s="57" t="str">
        <f t="shared" si="8"/>
        <v>▲</v>
      </c>
      <c r="L21" s="57">
        <f t="shared" si="9"/>
        <v>3.3592791334287053E-2</v>
      </c>
      <c r="O21" s="33"/>
      <c r="P21" s="73"/>
      <c r="Q21" s="73"/>
      <c r="R21" s="73"/>
    </row>
    <row r="22" spans="1:18" x14ac:dyDescent="0.25">
      <c r="A22" s="100" t="s">
        <v>10</v>
      </c>
      <c r="B22" s="126">
        <f t="shared" ref="B22:H22" si="11">SUM(B18:B21)</f>
        <v>137054251.80000001</v>
      </c>
      <c r="C22" s="126">
        <f t="shared" si="11"/>
        <v>138212542.24000001</v>
      </c>
      <c r="D22" s="126">
        <f t="shared" si="11"/>
        <v>134144881</v>
      </c>
      <c r="E22" s="126">
        <f t="shared" si="11"/>
        <v>160222957</v>
      </c>
      <c r="F22" s="126">
        <f t="shared" si="11"/>
        <v>150816142</v>
      </c>
      <c r="G22" s="126">
        <f t="shared" si="11"/>
        <v>142368615</v>
      </c>
      <c r="H22" s="126">
        <f t="shared" si="11"/>
        <v>142613516</v>
      </c>
      <c r="I22" s="102">
        <f t="shared" si="6"/>
        <v>0.59610691465886356</v>
      </c>
      <c r="J22" s="101">
        <f t="shared" si="7"/>
        <v>244901</v>
      </c>
      <c r="K22" s="103" t="str">
        <f t="shared" si="8"/>
        <v>▲</v>
      </c>
      <c r="L22" s="102">
        <f t="shared" si="9"/>
        <v>1.7201895235126052E-3</v>
      </c>
      <c r="O22" s="33"/>
      <c r="P22" s="73"/>
      <c r="Q22" s="73"/>
      <c r="R22" s="73"/>
    </row>
    <row r="23" spans="1:18" x14ac:dyDescent="0.25">
      <c r="A23" s="2" t="s">
        <v>219</v>
      </c>
      <c r="B23" s="12">
        <v>0</v>
      </c>
      <c r="C23" s="12">
        <v>200000</v>
      </c>
      <c r="D23" s="12">
        <v>400000</v>
      </c>
      <c r="E23" s="12">
        <v>1000000</v>
      </c>
      <c r="F23" s="12">
        <v>1117000</v>
      </c>
      <c r="G23" s="12">
        <v>1117000</v>
      </c>
      <c r="H23" s="12">
        <v>985000</v>
      </c>
      <c r="I23" s="57">
        <f t="shared" si="6"/>
        <v>4.1171785634888953E-3</v>
      </c>
      <c r="J23" s="58">
        <f t="shared" si="7"/>
        <v>-132000</v>
      </c>
      <c r="K23" s="57" t="str">
        <f t="shared" si="8"/>
        <v>▼</v>
      </c>
      <c r="L23" s="57">
        <f t="shared" si="9"/>
        <v>-0.11817367949865709</v>
      </c>
      <c r="O23" s="33"/>
      <c r="P23" s="73"/>
      <c r="Q23" s="73"/>
      <c r="R23" s="73"/>
    </row>
    <row r="24" spans="1:18" x14ac:dyDescent="0.25">
      <c r="A24" s="2" t="s">
        <v>11</v>
      </c>
      <c r="B24" s="12">
        <v>8368626</v>
      </c>
      <c r="C24" s="12">
        <v>7857468</v>
      </c>
      <c r="D24" s="12">
        <v>8012574</v>
      </c>
      <c r="E24" s="12">
        <v>7780659</v>
      </c>
      <c r="F24" s="12">
        <v>7477700</v>
      </c>
      <c r="G24" s="12">
        <v>5637270</v>
      </c>
      <c r="H24" s="12">
        <v>5637270</v>
      </c>
      <c r="I24" s="57">
        <f t="shared" si="6"/>
        <v>2.3563093604669082E-2</v>
      </c>
      <c r="J24" s="58">
        <f t="shared" si="7"/>
        <v>0</v>
      </c>
      <c r="K24" s="57" t="str">
        <f t="shared" si="8"/>
        <v>▬</v>
      </c>
      <c r="L24" s="57"/>
      <c r="O24" s="33"/>
      <c r="P24" s="73"/>
      <c r="Q24" s="73"/>
      <c r="R24" s="73"/>
    </row>
    <row r="25" spans="1:18" x14ac:dyDescent="0.25">
      <c r="A25" s="2" t="s">
        <v>220</v>
      </c>
      <c r="B25" s="12">
        <v>12705852</v>
      </c>
      <c r="C25" s="12">
        <v>6420472.3300000001</v>
      </c>
      <c r="D25" s="12">
        <v>4017590</v>
      </c>
      <c r="E25" s="12">
        <v>4044764</v>
      </c>
      <c r="F25" s="12">
        <v>7283273</v>
      </c>
      <c r="G25" s="12">
        <v>0</v>
      </c>
      <c r="H25" s="12">
        <v>4959969</v>
      </c>
      <c r="I25" s="57">
        <f t="shared" si="6"/>
        <v>2.0732058926263404E-2</v>
      </c>
      <c r="J25" s="58">
        <f t="shared" si="7"/>
        <v>4959969</v>
      </c>
      <c r="K25" s="57" t="str">
        <f t="shared" si="8"/>
        <v>▲</v>
      </c>
      <c r="L25" s="57" t="e">
        <f t="shared" si="9"/>
        <v>#DIV/0!</v>
      </c>
      <c r="O25" s="33"/>
      <c r="P25" s="73"/>
      <c r="Q25" s="73"/>
      <c r="R25" s="73"/>
    </row>
    <row r="26" spans="1:18" x14ac:dyDescent="0.25">
      <c r="A26" s="2" t="s">
        <v>221</v>
      </c>
      <c r="B26" s="12">
        <v>13138558.98</v>
      </c>
      <c r="C26" s="12">
        <v>10879379.199999999</v>
      </c>
      <c r="D26" s="12">
        <v>8619928</v>
      </c>
      <c r="E26" s="12">
        <v>7475188</v>
      </c>
      <c r="F26" s="12">
        <v>5361210</v>
      </c>
      <c r="G26" s="12">
        <v>6416391</v>
      </c>
      <c r="H26" s="12">
        <v>4898837</v>
      </c>
      <c r="I26" s="57">
        <f t="shared" si="6"/>
        <v>2.0476534702970815E-2</v>
      </c>
      <c r="J26" s="58">
        <f t="shared" si="7"/>
        <v>-1517554</v>
      </c>
      <c r="K26" s="57" t="str">
        <f t="shared" si="8"/>
        <v>▼</v>
      </c>
      <c r="L26" s="57">
        <f t="shared" si="9"/>
        <v>-0.23651208288272951</v>
      </c>
      <c r="O26" s="33"/>
      <c r="P26" s="73"/>
      <c r="Q26" s="73"/>
      <c r="R26" s="73"/>
    </row>
    <row r="27" spans="1:18" x14ac:dyDescent="0.25">
      <c r="A27" s="100" t="s">
        <v>12</v>
      </c>
      <c r="B27" s="126">
        <f t="shared" ref="B27:H27" si="12">SUM(B23:B26)</f>
        <v>34213036.980000004</v>
      </c>
      <c r="C27" s="126">
        <f t="shared" si="12"/>
        <v>25357319.530000001</v>
      </c>
      <c r="D27" s="126">
        <f t="shared" si="12"/>
        <v>21050092</v>
      </c>
      <c r="E27" s="126">
        <f t="shared" si="12"/>
        <v>20300611</v>
      </c>
      <c r="F27" s="126">
        <f t="shared" si="12"/>
        <v>21239183</v>
      </c>
      <c r="G27" s="126">
        <f t="shared" si="12"/>
        <v>13170661</v>
      </c>
      <c r="H27" s="126">
        <f t="shared" si="12"/>
        <v>16481076</v>
      </c>
      <c r="I27" s="102">
        <f t="shared" si="6"/>
        <v>6.8888865797392201E-2</v>
      </c>
      <c r="J27" s="101">
        <f t="shared" si="7"/>
        <v>3310415</v>
      </c>
      <c r="K27" s="103" t="str">
        <f t="shared" si="8"/>
        <v>▲</v>
      </c>
      <c r="L27" s="102">
        <f t="shared" si="9"/>
        <v>0.25134767343871345</v>
      </c>
      <c r="O27" s="33"/>
      <c r="P27" s="73"/>
      <c r="Q27" s="73"/>
      <c r="R27" s="73"/>
    </row>
    <row r="28" spans="1:18" x14ac:dyDescent="0.25">
      <c r="A28" s="2" t="s">
        <v>13</v>
      </c>
      <c r="B28" s="12">
        <v>23643048.73</v>
      </c>
      <c r="C28" s="12">
        <v>26129532.000000004</v>
      </c>
      <c r="D28" s="12">
        <v>37161910</v>
      </c>
      <c r="E28" s="12">
        <v>48060900</v>
      </c>
      <c r="F28" s="12">
        <v>24772724</v>
      </c>
      <c r="G28" s="12">
        <v>34178761</v>
      </c>
      <c r="H28" s="12">
        <v>27024480</v>
      </c>
      <c r="I28" s="57">
        <f t="shared" si="6"/>
        <v>0.11295899466541562</v>
      </c>
      <c r="J28" s="58">
        <f t="shared" si="7"/>
        <v>-7154281</v>
      </c>
      <c r="K28" s="57" t="str">
        <f t="shared" si="8"/>
        <v>▼</v>
      </c>
      <c r="L28" s="57">
        <f t="shared" si="9"/>
        <v>-0.20931949522687499</v>
      </c>
      <c r="O28" s="33"/>
      <c r="P28" s="73"/>
      <c r="Q28" s="73"/>
      <c r="R28" s="73"/>
    </row>
    <row r="29" spans="1:18" x14ac:dyDescent="0.25">
      <c r="A29" s="4" t="s">
        <v>222</v>
      </c>
      <c r="B29" s="153">
        <v>46071939.200000003</v>
      </c>
      <c r="C29" s="153">
        <v>37277228.120000005</v>
      </c>
      <c r="D29" s="153">
        <v>46860194</v>
      </c>
      <c r="E29" s="153">
        <f>45859692-0.49</f>
        <v>45859691.509999998</v>
      </c>
      <c r="F29" s="153">
        <v>38178595</v>
      </c>
      <c r="G29" s="153">
        <v>42395909</v>
      </c>
      <c r="H29" s="153">
        <v>48375385</v>
      </c>
      <c r="I29" s="57">
        <f t="shared" si="6"/>
        <v>0.20220314530205308</v>
      </c>
      <c r="J29" s="58">
        <f t="shared" si="7"/>
        <v>5979476</v>
      </c>
      <c r="K29" s="57" t="str">
        <f t="shared" si="8"/>
        <v>▲</v>
      </c>
      <c r="L29" s="57">
        <f t="shared" si="9"/>
        <v>0.14103898562476869</v>
      </c>
      <c r="O29" s="33"/>
      <c r="P29" s="73"/>
      <c r="Q29" s="73"/>
      <c r="R29" s="73"/>
    </row>
    <row r="30" spans="1:18" x14ac:dyDescent="0.25">
      <c r="A30" s="2" t="s">
        <v>223</v>
      </c>
      <c r="B30" s="12">
        <v>5212627.8099999996</v>
      </c>
      <c r="C30" s="12">
        <v>4377559.0299999993</v>
      </c>
      <c r="D30" s="12">
        <v>4805793</v>
      </c>
      <c r="E30" s="12">
        <f>5623258-0.49</f>
        <v>5623257.5099999998</v>
      </c>
      <c r="F30" s="12">
        <v>6127609</v>
      </c>
      <c r="G30" s="12">
        <v>4870215</v>
      </c>
      <c r="H30" s="12">
        <v>4747049</v>
      </c>
      <c r="I30" s="57">
        <f t="shared" si="6"/>
        <v>1.9842079576275533E-2</v>
      </c>
      <c r="J30" s="58">
        <f t="shared" si="7"/>
        <v>-123166</v>
      </c>
      <c r="K30" s="57" t="str">
        <f t="shared" si="8"/>
        <v>▼</v>
      </c>
      <c r="L30" s="57">
        <f t="shared" si="9"/>
        <v>-2.5289643270368978E-2</v>
      </c>
      <c r="O30" s="33"/>
      <c r="P30" s="73"/>
      <c r="Q30" s="73"/>
      <c r="R30" s="73"/>
    </row>
    <row r="31" spans="1:18" x14ac:dyDescent="0.25">
      <c r="A31" s="100" t="s">
        <v>14</v>
      </c>
      <c r="B31" s="126">
        <f t="shared" ref="B31:E31" si="13">SUM(B28:B30)</f>
        <v>74927615.74000001</v>
      </c>
      <c r="C31" s="126">
        <f t="shared" si="13"/>
        <v>67784319.150000006</v>
      </c>
      <c r="D31" s="126">
        <f t="shared" si="13"/>
        <v>88827897</v>
      </c>
      <c r="E31" s="126">
        <f t="shared" si="13"/>
        <v>99543849.019999996</v>
      </c>
      <c r="F31" s="126">
        <f t="shared" ref="F31:H31" si="14">SUM(F28:F30)</f>
        <v>69078928</v>
      </c>
      <c r="G31" s="126">
        <f t="shared" si="14"/>
        <v>81444885</v>
      </c>
      <c r="H31" s="126">
        <f t="shared" si="14"/>
        <v>80146914</v>
      </c>
      <c r="I31" s="102">
        <f t="shared" si="6"/>
        <v>0.33500421954374421</v>
      </c>
      <c r="J31" s="101">
        <f t="shared" si="7"/>
        <v>-1297971</v>
      </c>
      <c r="K31" s="103" t="str">
        <f t="shared" si="8"/>
        <v>▼</v>
      </c>
      <c r="L31" s="102">
        <f t="shared" si="9"/>
        <v>-1.5936801924393396E-2</v>
      </c>
      <c r="O31" s="33"/>
      <c r="P31" s="73"/>
      <c r="Q31" s="73"/>
      <c r="R31" s="73"/>
    </row>
    <row r="32" spans="1:18" x14ac:dyDescent="0.25">
      <c r="A32" s="100" t="s">
        <v>15</v>
      </c>
      <c r="B32" s="126">
        <f t="shared" ref="B32:H32" si="15">B31+B27</f>
        <v>109140652.72000001</v>
      </c>
      <c r="C32" s="126">
        <f t="shared" si="15"/>
        <v>93141638.680000007</v>
      </c>
      <c r="D32" s="126">
        <f t="shared" si="15"/>
        <v>109877989</v>
      </c>
      <c r="E32" s="126">
        <f t="shared" si="15"/>
        <v>119844460.02</v>
      </c>
      <c r="F32" s="126">
        <f t="shared" si="15"/>
        <v>90318111</v>
      </c>
      <c r="G32" s="126">
        <f t="shared" si="15"/>
        <v>94615546</v>
      </c>
      <c r="H32" s="126">
        <f t="shared" si="15"/>
        <v>96627990</v>
      </c>
      <c r="I32" s="102">
        <f t="shared" si="6"/>
        <v>0.40389308534113644</v>
      </c>
      <c r="J32" s="101">
        <f t="shared" si="7"/>
        <v>2012444</v>
      </c>
      <c r="K32" s="103" t="str">
        <f t="shared" si="8"/>
        <v>▲</v>
      </c>
      <c r="L32" s="102">
        <f t="shared" si="9"/>
        <v>2.1269697053801329E-2</v>
      </c>
      <c r="O32" s="33"/>
      <c r="P32" s="73"/>
      <c r="Q32" s="73"/>
      <c r="R32" s="73"/>
    </row>
    <row r="33" spans="1:18" x14ac:dyDescent="0.25">
      <c r="A33" s="100" t="s">
        <v>16</v>
      </c>
      <c r="B33" s="126">
        <f t="shared" ref="B33:H33" si="16">B32+B22</f>
        <v>246194904.52000004</v>
      </c>
      <c r="C33" s="126">
        <f t="shared" si="16"/>
        <v>231354180.92000002</v>
      </c>
      <c r="D33" s="126">
        <f t="shared" si="16"/>
        <v>244022870</v>
      </c>
      <c r="E33" s="126">
        <f t="shared" si="16"/>
        <v>280067417.01999998</v>
      </c>
      <c r="F33" s="126">
        <f t="shared" si="16"/>
        <v>241134253</v>
      </c>
      <c r="G33" s="126">
        <f t="shared" si="16"/>
        <v>236984161</v>
      </c>
      <c r="H33" s="126">
        <f t="shared" si="16"/>
        <v>239241506</v>
      </c>
      <c r="I33" s="102">
        <f t="shared" si="6"/>
        <v>1</v>
      </c>
      <c r="J33" s="101">
        <f t="shared" si="7"/>
        <v>2257345</v>
      </c>
      <c r="K33" s="103" t="str">
        <f t="shared" si="8"/>
        <v>▲</v>
      </c>
      <c r="L33" s="102">
        <f t="shared" si="9"/>
        <v>9.5252990346472721E-3</v>
      </c>
      <c r="O33" s="33"/>
      <c r="P33" s="73"/>
      <c r="Q33" s="73"/>
      <c r="R33" s="73"/>
    </row>
    <row r="35" spans="1:18" x14ac:dyDescent="0.25">
      <c r="A35" s="24"/>
      <c r="B35" s="145">
        <f t="shared" ref="B35:G35" si="17">B33-B17</f>
        <v>0</v>
      </c>
      <c r="C35" s="145">
        <f t="shared" si="17"/>
        <v>-9.9999904632568359E-3</v>
      </c>
      <c r="D35" s="145">
        <f t="shared" si="17"/>
        <v>0</v>
      </c>
      <c r="E35" s="145">
        <f t="shared" si="17"/>
        <v>1.9999980926513672E-2</v>
      </c>
      <c r="F35" s="145">
        <f t="shared" si="17"/>
        <v>0</v>
      </c>
      <c r="G35" s="145">
        <f t="shared" si="17"/>
        <v>0</v>
      </c>
      <c r="H35" s="145">
        <f>H33-H17</f>
        <v>0</v>
      </c>
    </row>
  </sheetData>
  <mergeCells count="1">
    <mergeCell ref="J3:L3"/>
  </mergeCells>
  <conditionalFormatting sqref="K4:K33">
    <cfRule type="expression" dxfId="20" priority="7">
      <formula>H4=G4</formula>
    </cfRule>
    <cfRule type="expression" dxfId="19" priority="8">
      <formula>H4&lt;G4</formula>
    </cfRule>
    <cfRule type="expression" dxfId="18" priority="9">
      <formula>H4&gt;G4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66"/>
  <sheetViews>
    <sheetView showGridLine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15" sqref="R15"/>
    </sheetView>
  </sheetViews>
  <sheetFormatPr defaultColWidth="9.140625" defaultRowHeight="15" x14ac:dyDescent="0.25"/>
  <cols>
    <col min="1" max="1" width="70.5703125" style="53" hidden="1" customWidth="1"/>
    <col min="2" max="2" width="60.140625" style="53" customWidth="1"/>
    <col min="3" max="5" width="16.140625" style="53" bestFit="1" customWidth="1"/>
    <col min="6" max="7" width="13.42578125" style="53" bestFit="1" customWidth="1"/>
    <col min="8" max="9" width="15" style="53" customWidth="1"/>
    <col min="10" max="10" width="3.140625" style="53" bestFit="1" customWidth="1"/>
    <col min="11" max="11" width="13.42578125" style="53" bestFit="1" customWidth="1"/>
    <col min="12" max="12" width="7.5703125" style="53" bestFit="1" customWidth="1"/>
    <col min="13" max="13" width="1.5703125" style="53" customWidth="1"/>
    <col min="14" max="14" width="8.140625" style="53" customWidth="1"/>
    <col min="15" max="15" width="6.85546875" style="53" customWidth="1"/>
    <col min="16" max="16" width="7.42578125" style="53" customWidth="1"/>
    <col min="17" max="18" width="7.85546875" style="53" customWidth="1"/>
    <col min="19" max="19" width="7.42578125" style="32" customWidth="1"/>
    <col min="20" max="20" width="9.140625" style="53"/>
    <col min="21" max="21" width="4.42578125" style="53" customWidth="1"/>
    <col min="22" max="22" width="9.140625" style="53"/>
    <col min="23" max="23" width="18.140625" style="53" customWidth="1"/>
    <col min="24" max="16384" width="9.140625" style="53"/>
  </cols>
  <sheetData>
    <row r="2" spans="1:19" ht="15.75" thickBot="1" x14ac:dyDescent="0.3">
      <c r="A2" s="5"/>
      <c r="B2" s="5"/>
      <c r="C2" s="5"/>
      <c r="D2" s="5"/>
      <c r="E2" s="5"/>
      <c r="F2" s="5"/>
      <c r="G2" s="5"/>
      <c r="I2" s="53" t="s">
        <v>259</v>
      </c>
      <c r="J2" s="7"/>
      <c r="K2" s="8"/>
      <c r="L2" s="7"/>
    </row>
    <row r="3" spans="1:19" s="135" customFormat="1" ht="15.75" thickBot="1" x14ac:dyDescent="0.3">
      <c r="A3" s="30" t="s">
        <v>0</v>
      </c>
      <c r="B3" s="133" t="s">
        <v>17</v>
      </c>
      <c r="C3" s="134">
        <v>2019</v>
      </c>
      <c r="D3" s="134">
        <f t="shared" ref="D3" si="0">C3+1</f>
        <v>2020</v>
      </c>
      <c r="E3" s="134">
        <f t="shared" ref="E3" si="1">D3+1</f>
        <v>2021</v>
      </c>
      <c r="F3" s="134">
        <f t="shared" ref="F3" si="2">E3+1</f>
        <v>2022</v>
      </c>
      <c r="G3" s="134">
        <f t="shared" ref="G3" si="3">F3+1</f>
        <v>2023</v>
      </c>
      <c r="H3" s="134">
        <f t="shared" ref="H3" si="4">G3+1</f>
        <v>2024</v>
      </c>
      <c r="I3" s="134">
        <f t="shared" ref="I3" si="5">H3+1</f>
        <v>2025</v>
      </c>
      <c r="J3" s="226" t="str">
        <f>CONCATENATE(I3," vs. ",H3)</f>
        <v>2025 vs. 2024</v>
      </c>
      <c r="K3" s="226"/>
      <c r="L3" s="226"/>
      <c r="S3" s="136"/>
    </row>
    <row r="4" spans="1:19" x14ac:dyDescent="0.25">
      <c r="A4" s="10" t="s">
        <v>63</v>
      </c>
      <c r="B4" s="10" t="s">
        <v>224</v>
      </c>
      <c r="C4" s="10">
        <v>183857279.62999997</v>
      </c>
      <c r="D4" s="10">
        <v>181146471.98999998</v>
      </c>
      <c r="E4" s="10">
        <v>264737647</v>
      </c>
      <c r="F4" s="10">
        <v>262801054</v>
      </c>
      <c r="G4" s="10">
        <v>214230854</v>
      </c>
      <c r="H4" s="10">
        <v>225633834</v>
      </c>
      <c r="I4" s="123">
        <v>194436269</v>
      </c>
      <c r="J4" s="6" t="str">
        <f>IF(I4+H4&gt;0,IF(I4&gt;H4,"▲",IF(I4=H4,"▬","▼")),IF(I4&gt;H4,"▼",IF(I4=H4,"▬","▲")))</f>
        <v>▼</v>
      </c>
      <c r="K4" s="10">
        <f>I4-H4</f>
        <v>-31197565</v>
      </c>
      <c r="L4" s="11">
        <f>I4/H4-1</f>
        <v>-0.13826634262661153</v>
      </c>
      <c r="O4" s="124"/>
    </row>
    <row r="5" spans="1:19" x14ac:dyDescent="0.25">
      <c r="A5" s="12" t="s">
        <v>64</v>
      </c>
      <c r="B5" s="12" t="s">
        <v>225</v>
      </c>
      <c r="C5" s="12">
        <v>4140236.81</v>
      </c>
      <c r="D5" s="12">
        <v>3967550.28</v>
      </c>
      <c r="E5" s="12">
        <v>4459406</v>
      </c>
      <c r="F5" s="12">
        <v>4454249</v>
      </c>
      <c r="G5" s="12">
        <v>4303986</v>
      </c>
      <c r="H5" s="12">
        <v>3994432</v>
      </c>
      <c r="I5" s="125">
        <v>3542005</v>
      </c>
      <c r="J5" s="6" t="str">
        <f t="shared" ref="J5:J22" si="6">IF(I5+H5&gt;0,IF(I5&gt;H5,"▲",IF(I5=H5,"▬","▼")),IF(I5&gt;H5,"▼",IF(I5=H5,"▬","▲")))</f>
        <v>▼</v>
      </c>
      <c r="K5" s="12">
        <f t="shared" ref="K5:K22" si="7">I5-H5</f>
        <v>-452427</v>
      </c>
      <c r="L5" s="11">
        <f t="shared" ref="L5:L22" si="8">I5/H5-1</f>
        <v>-0.11326441406437759</v>
      </c>
      <c r="O5" s="124"/>
    </row>
    <row r="6" spans="1:19" x14ac:dyDescent="0.25">
      <c r="A6" s="12" t="s">
        <v>19</v>
      </c>
      <c r="B6" s="12" t="s">
        <v>226</v>
      </c>
      <c r="C6" s="12">
        <v>3560611</v>
      </c>
      <c r="D6" s="12">
        <v>-843348.13000001945</v>
      </c>
      <c r="E6" s="12">
        <v>872217</v>
      </c>
      <c r="F6" s="12">
        <v>7447653</v>
      </c>
      <c r="G6" s="12">
        <v>485526</v>
      </c>
      <c r="H6" s="12">
        <v>2705618</v>
      </c>
      <c r="I6" s="125">
        <v>-1422786</v>
      </c>
      <c r="J6" s="6" t="str">
        <f t="shared" si="6"/>
        <v>▼</v>
      </c>
      <c r="K6" s="12">
        <f t="shared" si="7"/>
        <v>-4128404</v>
      </c>
      <c r="L6" s="11">
        <f t="shared" si="8"/>
        <v>-1.5258635919778771</v>
      </c>
      <c r="O6" s="124"/>
    </row>
    <row r="7" spans="1:19" x14ac:dyDescent="0.25">
      <c r="A7" s="12" t="s">
        <v>21</v>
      </c>
      <c r="B7" s="12" t="s">
        <v>23</v>
      </c>
      <c r="C7" s="12">
        <v>-123157910.96999998</v>
      </c>
      <c r="D7" s="12">
        <v>-117623988.00999999</v>
      </c>
      <c r="E7" s="12">
        <v>-197945281</v>
      </c>
      <c r="F7" s="12">
        <v>-199065784</v>
      </c>
      <c r="G7" s="12">
        <v>-148776840</v>
      </c>
      <c r="H7" s="12">
        <v>-159392433</v>
      </c>
      <c r="I7" s="125">
        <v>-124766147</v>
      </c>
      <c r="J7" s="6" t="str">
        <f t="shared" si="6"/>
        <v>▼</v>
      </c>
      <c r="K7" s="12">
        <f t="shared" si="7"/>
        <v>34626286</v>
      </c>
      <c r="L7" s="11">
        <f t="shared" si="8"/>
        <v>-0.21723920858903012</v>
      </c>
      <c r="O7" s="124"/>
    </row>
    <row r="8" spans="1:19" x14ac:dyDescent="0.25">
      <c r="A8" s="12" t="s">
        <v>22</v>
      </c>
      <c r="B8" s="12" t="s">
        <v>28</v>
      </c>
      <c r="C8" s="12">
        <v>-38593735.280000001</v>
      </c>
      <c r="D8" s="12">
        <v>-37639734.170000002</v>
      </c>
      <c r="E8" s="12">
        <v>-40568395</v>
      </c>
      <c r="F8" s="12">
        <v>-42312860</v>
      </c>
      <c r="G8" s="12">
        <v>-47111543</v>
      </c>
      <c r="H8" s="12">
        <v>-53544515</v>
      </c>
      <c r="I8" s="125">
        <v>-48010063</v>
      </c>
      <c r="J8" s="6" t="str">
        <f t="shared" si="6"/>
        <v>▼</v>
      </c>
      <c r="K8" s="12">
        <f t="shared" si="7"/>
        <v>5534452</v>
      </c>
      <c r="L8" s="11">
        <f t="shared" si="8"/>
        <v>-0.10336169820568919</v>
      </c>
      <c r="O8" s="124"/>
    </row>
    <row r="9" spans="1:19" x14ac:dyDescent="0.25">
      <c r="A9" s="12" t="s">
        <v>24</v>
      </c>
      <c r="B9" s="12" t="s">
        <v>25</v>
      </c>
      <c r="C9" s="12">
        <v>-10634489.470000001</v>
      </c>
      <c r="D9" s="12">
        <v>-10202832.52</v>
      </c>
      <c r="E9" s="12">
        <v>-9977583</v>
      </c>
      <c r="F9" s="12">
        <v>-9609158</v>
      </c>
      <c r="G9" s="12">
        <v>-9392805</v>
      </c>
      <c r="H9" s="12">
        <v>-9829769</v>
      </c>
      <c r="I9" s="125">
        <v>-9083643</v>
      </c>
      <c r="J9" s="6" t="str">
        <f t="shared" si="6"/>
        <v>▼</v>
      </c>
      <c r="K9" s="12">
        <f t="shared" si="7"/>
        <v>746126</v>
      </c>
      <c r="L9" s="11">
        <f t="shared" si="8"/>
        <v>-7.5904733875231445E-2</v>
      </c>
      <c r="O9" s="124"/>
    </row>
    <row r="10" spans="1:19" x14ac:dyDescent="0.25">
      <c r="A10" s="12" t="s">
        <v>27</v>
      </c>
      <c r="B10" s="12" t="s">
        <v>32</v>
      </c>
      <c r="C10" s="12">
        <v>-15482186.07</v>
      </c>
      <c r="D10" s="12">
        <v>-15084037.750000002</v>
      </c>
      <c r="E10" s="12">
        <v>-15900695</v>
      </c>
      <c r="F10" s="12">
        <v>-18863784</v>
      </c>
      <c r="G10" s="12">
        <v>-16469733</v>
      </c>
      <c r="H10" s="12">
        <v>-17149321</v>
      </c>
      <c r="I10" s="125">
        <v>-16811549</v>
      </c>
      <c r="J10" s="6" t="str">
        <f t="shared" si="6"/>
        <v>▼</v>
      </c>
      <c r="K10" s="12">
        <f t="shared" si="7"/>
        <v>337772</v>
      </c>
      <c r="L10" s="11">
        <f t="shared" si="8"/>
        <v>-1.9695940148300894E-2</v>
      </c>
      <c r="O10" s="124"/>
    </row>
    <row r="11" spans="1:19" x14ac:dyDescent="0.25">
      <c r="A11" s="12" t="s">
        <v>29</v>
      </c>
      <c r="B11" s="12" t="s">
        <v>20</v>
      </c>
      <c r="C11" s="12">
        <v>-253283.14000000185</v>
      </c>
      <c r="D11" s="12">
        <v>-524438.68000000087</v>
      </c>
      <c r="E11" s="12">
        <v>1883115</v>
      </c>
      <c r="F11" s="12">
        <v>1769858</v>
      </c>
      <c r="G11" s="12">
        <v>4863752</v>
      </c>
      <c r="H11" s="12">
        <v>380896</v>
      </c>
      <c r="I11" s="125">
        <v>5389817</v>
      </c>
      <c r="J11" s="6" t="str">
        <f t="shared" si="6"/>
        <v>▲</v>
      </c>
      <c r="K11" s="12">
        <f t="shared" si="7"/>
        <v>5008921</v>
      </c>
      <c r="L11" s="11">
        <f t="shared" si="8"/>
        <v>13.150363878854071</v>
      </c>
      <c r="O11" s="124"/>
    </row>
    <row r="12" spans="1:19" x14ac:dyDescent="0.25">
      <c r="A12" s="12" t="s">
        <v>30</v>
      </c>
      <c r="B12" s="137" t="s">
        <v>227</v>
      </c>
      <c r="C12" s="138">
        <f>SUM(C4:C11)+1</f>
        <v>3436523.5099999816</v>
      </c>
      <c r="D12" s="138">
        <f t="shared" ref="D12:I12" si="9">SUM(D4:D11)</f>
        <v>3195643.0099999616</v>
      </c>
      <c r="E12" s="138">
        <f t="shared" si="9"/>
        <v>7560431</v>
      </c>
      <c r="F12" s="138">
        <f t="shared" si="9"/>
        <v>6621228</v>
      </c>
      <c r="G12" s="138">
        <f t="shared" si="9"/>
        <v>2133197</v>
      </c>
      <c r="H12" s="138">
        <f t="shared" si="9"/>
        <v>-7201258</v>
      </c>
      <c r="I12" s="139">
        <f t="shared" si="9"/>
        <v>3273903</v>
      </c>
      <c r="J12" s="126" t="str">
        <f t="shared" si="6"/>
        <v>▼</v>
      </c>
      <c r="K12" s="138">
        <f>SUM(K4:K11)</f>
        <v>10475161</v>
      </c>
      <c r="L12" s="127">
        <f t="shared" si="8"/>
        <v>-1.4546293161555939</v>
      </c>
      <c r="O12" s="124"/>
    </row>
    <row r="13" spans="1:19" x14ac:dyDescent="0.25">
      <c r="A13" s="12" t="s">
        <v>57</v>
      </c>
      <c r="B13" s="12" t="s">
        <v>228</v>
      </c>
      <c r="C13" s="12">
        <v>86398.37</v>
      </c>
      <c r="D13" s="12">
        <v>105139.08</v>
      </c>
      <c r="E13" s="12">
        <v>128719</v>
      </c>
      <c r="F13" s="12">
        <v>47336583</v>
      </c>
      <c r="G13" s="12">
        <v>3386552</v>
      </c>
      <c r="H13" s="12">
        <v>1256644</v>
      </c>
      <c r="I13" s="125">
        <v>2287321</v>
      </c>
      <c r="J13" s="6" t="str">
        <f t="shared" si="6"/>
        <v>▲</v>
      </c>
      <c r="K13" s="12">
        <f t="shared" si="7"/>
        <v>1030677</v>
      </c>
      <c r="L13" s="11">
        <f t="shared" si="8"/>
        <v>0.82018216774201758</v>
      </c>
      <c r="O13" s="124"/>
    </row>
    <row r="14" spans="1:19" x14ac:dyDescent="0.25">
      <c r="A14" s="12" t="s">
        <v>31</v>
      </c>
      <c r="B14" s="12" t="s">
        <v>232</v>
      </c>
      <c r="C14" s="12">
        <v>-2935381.92</v>
      </c>
      <c r="D14" s="12">
        <v>-2303518.65</v>
      </c>
      <c r="E14" s="12">
        <v>-1769889</v>
      </c>
      <c r="F14" s="12">
        <v>-1574050</v>
      </c>
      <c r="G14" s="12">
        <v>-2081299</v>
      </c>
      <c r="H14" s="12">
        <v>-2386479</v>
      </c>
      <c r="I14" s="125">
        <v>-3723867</v>
      </c>
      <c r="J14" s="6" t="str">
        <f t="shared" ref="J14" si="10">IF(I14+H14&gt;0,IF(I14&gt;H14,"▲",IF(I14=H14,"▬","▼")),IF(I14&gt;H14,"▼",IF(I14=H14,"▬","▲")))</f>
        <v>▲</v>
      </c>
      <c r="K14" s="12">
        <f t="shared" ref="K14" si="11">I14-H14</f>
        <v>-1337388</v>
      </c>
      <c r="L14" s="11">
        <f t="shared" ref="L14" si="12">I14/H14-1</f>
        <v>0.56040216570101808</v>
      </c>
      <c r="O14" s="124"/>
    </row>
    <row r="15" spans="1:19" x14ac:dyDescent="0.25">
      <c r="A15" s="12"/>
      <c r="B15" s="12" t="s">
        <v>261</v>
      </c>
      <c r="C15" s="12">
        <v>0</v>
      </c>
      <c r="D15" s="12">
        <v>0</v>
      </c>
      <c r="E15" s="12">
        <v>0</v>
      </c>
      <c r="F15" s="12">
        <v>0</v>
      </c>
      <c r="G15" s="12">
        <v>57882</v>
      </c>
      <c r="H15" s="12">
        <v>782307</v>
      </c>
      <c r="I15" s="125">
        <v>-52347</v>
      </c>
      <c r="J15" s="6"/>
      <c r="K15" s="12"/>
      <c r="L15" s="11"/>
      <c r="O15" s="124"/>
    </row>
    <row r="16" spans="1:19" ht="15.75" thickBot="1" x14ac:dyDescent="0.3">
      <c r="A16" s="12" t="s">
        <v>31</v>
      </c>
      <c r="B16" s="12" t="s">
        <v>26</v>
      </c>
      <c r="C16" s="12">
        <v>0</v>
      </c>
      <c r="D16" s="12">
        <v>110138</v>
      </c>
      <c r="E16" s="12">
        <v>-6477632</v>
      </c>
      <c r="F16" s="12">
        <v>0</v>
      </c>
      <c r="G16" s="12">
        <v>0</v>
      </c>
      <c r="H16" s="12">
        <v>-97950</v>
      </c>
      <c r="I16" s="125">
        <v>-8202</v>
      </c>
      <c r="J16" s="6" t="str">
        <f t="shared" si="6"/>
        <v>▼</v>
      </c>
      <c r="K16" s="12">
        <f t="shared" si="7"/>
        <v>89748</v>
      </c>
      <c r="L16" s="11"/>
      <c r="O16" s="124"/>
    </row>
    <row r="17" spans="1:20" ht="15.75" thickBot="1" x14ac:dyDescent="0.3">
      <c r="A17" s="9" t="s">
        <v>33</v>
      </c>
      <c r="B17" s="137" t="s">
        <v>34</v>
      </c>
      <c r="C17" s="138">
        <f t="shared" ref="C17" si="13">SUM(C12:C16)</f>
        <v>587539.9599999818</v>
      </c>
      <c r="D17" s="138">
        <f>SUM(D12:D16)+1</f>
        <v>1107402.4399999618</v>
      </c>
      <c r="E17" s="138">
        <f>SUM(E12:E16)</f>
        <v>-558371</v>
      </c>
      <c r="F17" s="138">
        <f>SUM(F12:F16)</f>
        <v>52383761</v>
      </c>
      <c r="G17" s="138">
        <f>SUM(G12:G16)</f>
        <v>3496332</v>
      </c>
      <c r="H17" s="138">
        <f>SUM(H12:H16)</f>
        <v>-7646736</v>
      </c>
      <c r="I17" s="139">
        <f>SUM(I12:I16)</f>
        <v>1776808</v>
      </c>
      <c r="J17" s="126" t="str">
        <f t="shared" si="6"/>
        <v>▼</v>
      </c>
      <c r="K17" s="138">
        <f t="shared" si="7"/>
        <v>9423544</v>
      </c>
      <c r="L17" s="127">
        <f t="shared" si="8"/>
        <v>-1.2323616246199687</v>
      </c>
    </row>
    <row r="18" spans="1:20" ht="15.75" thickBot="1" x14ac:dyDescent="0.3">
      <c r="A18" s="12" t="s">
        <v>35</v>
      </c>
      <c r="B18" s="12" t="s">
        <v>36</v>
      </c>
      <c r="C18" s="12">
        <v>-217442</v>
      </c>
      <c r="D18" s="12">
        <v>-238297</v>
      </c>
      <c r="E18" s="12">
        <v>-889087</v>
      </c>
      <c r="F18" s="12">
        <v>-912071</v>
      </c>
      <c r="G18" s="12">
        <v>-182523</v>
      </c>
      <c r="H18" s="12">
        <v>1653756</v>
      </c>
      <c r="I18" s="125">
        <v>0</v>
      </c>
      <c r="J18" s="6" t="str">
        <f t="shared" si="6"/>
        <v>▼</v>
      </c>
      <c r="K18" s="12">
        <f t="shared" si="7"/>
        <v>-1653756</v>
      </c>
      <c r="L18" s="11">
        <f t="shared" si="8"/>
        <v>-1</v>
      </c>
    </row>
    <row r="19" spans="1:20" ht="15.75" thickBot="1" x14ac:dyDescent="0.3">
      <c r="A19" s="9" t="s">
        <v>37</v>
      </c>
      <c r="B19" s="137" t="s">
        <v>38</v>
      </c>
      <c r="C19" s="138">
        <f t="shared" ref="C19:I19" si="14">C17+C18</f>
        <v>370097.9599999818</v>
      </c>
      <c r="D19" s="138">
        <f t="shared" si="14"/>
        <v>869105.43999996176</v>
      </c>
      <c r="E19" s="138">
        <f t="shared" si="14"/>
        <v>-1447458</v>
      </c>
      <c r="F19" s="138">
        <f t="shared" si="14"/>
        <v>51471690</v>
      </c>
      <c r="G19" s="138">
        <f t="shared" si="14"/>
        <v>3313809</v>
      </c>
      <c r="H19" s="138">
        <f t="shared" si="14"/>
        <v>-5992980</v>
      </c>
      <c r="I19" s="139">
        <f t="shared" si="14"/>
        <v>1776808</v>
      </c>
      <c r="J19" s="126" t="str">
        <f t="shared" si="6"/>
        <v>▼</v>
      </c>
      <c r="K19" s="138">
        <f t="shared" si="7"/>
        <v>7769788</v>
      </c>
      <c r="L19" s="127">
        <f t="shared" si="8"/>
        <v>-1.2964815500802604</v>
      </c>
    </row>
    <row r="20" spans="1:20" x14ac:dyDescent="0.25">
      <c r="A20" s="12" t="s">
        <v>39</v>
      </c>
      <c r="B20" s="12" t="s">
        <v>237</v>
      </c>
      <c r="C20" s="6"/>
      <c r="D20" s="6"/>
      <c r="E20" s="6"/>
      <c r="F20" s="6">
        <v>745264</v>
      </c>
      <c r="G20" s="6"/>
      <c r="H20" s="6"/>
      <c r="I20" s="125"/>
      <c r="J20" s="6" t="str">
        <f t="shared" si="6"/>
        <v>▬</v>
      </c>
      <c r="K20" s="12">
        <f t="shared" si="7"/>
        <v>0</v>
      </c>
      <c r="L20" s="11"/>
    </row>
    <row r="21" spans="1:20" ht="30.75" thickBot="1" x14ac:dyDescent="0.3">
      <c r="A21" s="15" t="s">
        <v>40</v>
      </c>
      <c r="B21" s="15" t="s">
        <v>153</v>
      </c>
      <c r="C21" s="16">
        <v>74009</v>
      </c>
      <c r="D21" s="16">
        <v>289186</v>
      </c>
      <c r="E21" s="16">
        <v>21016.697074381635</v>
      </c>
      <c r="F21" s="16">
        <v>273332</v>
      </c>
      <c r="G21" s="16">
        <v>485482</v>
      </c>
      <c r="H21" s="16">
        <v>186674</v>
      </c>
      <c r="I21" s="128">
        <v>0</v>
      </c>
      <c r="J21" s="6" t="str">
        <f t="shared" si="6"/>
        <v>▼</v>
      </c>
      <c r="K21" s="12">
        <f t="shared" si="7"/>
        <v>-186674</v>
      </c>
      <c r="L21" s="11">
        <f t="shared" si="8"/>
        <v>-1</v>
      </c>
    </row>
    <row r="22" spans="1:20" ht="15.75" thickBot="1" x14ac:dyDescent="0.3">
      <c r="A22" s="9" t="s">
        <v>42</v>
      </c>
      <c r="B22" s="137" t="s">
        <v>41</v>
      </c>
      <c r="C22" s="138">
        <f t="shared" ref="C22:I22" si="15">C19+C20+C21</f>
        <v>444106.9599999818</v>
      </c>
      <c r="D22" s="138">
        <f t="shared" si="15"/>
        <v>1158291.4399999618</v>
      </c>
      <c r="E22" s="138">
        <f t="shared" si="15"/>
        <v>-1426441.3029256184</v>
      </c>
      <c r="F22" s="138">
        <f t="shared" si="15"/>
        <v>52490286</v>
      </c>
      <c r="G22" s="138">
        <f t="shared" si="15"/>
        <v>3799291</v>
      </c>
      <c r="H22" s="138">
        <f t="shared" si="15"/>
        <v>-5806306</v>
      </c>
      <c r="I22" s="139">
        <f t="shared" si="15"/>
        <v>1776808</v>
      </c>
      <c r="J22" s="126" t="str">
        <f t="shared" si="6"/>
        <v>▼</v>
      </c>
      <c r="K22" s="138">
        <f t="shared" si="7"/>
        <v>7583114</v>
      </c>
      <c r="L22" s="127">
        <f t="shared" si="8"/>
        <v>-1.3060134963606811</v>
      </c>
    </row>
    <row r="24" spans="1:20" x14ac:dyDescent="0.25">
      <c r="A24" s="24" t="s">
        <v>55</v>
      </c>
      <c r="B24" s="179" t="s">
        <v>198</v>
      </c>
      <c r="C24" s="179"/>
      <c r="N24" s="179" t="s">
        <v>208</v>
      </c>
      <c r="O24" s="179"/>
      <c r="P24" s="179"/>
    </row>
    <row r="25" spans="1:20" ht="15.75" thickBot="1" x14ac:dyDescent="0.3"/>
    <row r="26" spans="1:20" s="135" customFormat="1" ht="15.75" thickBot="1" x14ac:dyDescent="0.3">
      <c r="A26" s="30"/>
      <c r="B26" s="133"/>
      <c r="C26" s="134">
        <f t="shared" ref="C26:G26" si="16">C3</f>
        <v>2019</v>
      </c>
      <c r="D26" s="134">
        <f t="shared" si="16"/>
        <v>2020</v>
      </c>
      <c r="E26" s="134">
        <f t="shared" si="16"/>
        <v>2021</v>
      </c>
      <c r="F26" s="134">
        <f t="shared" si="16"/>
        <v>2022</v>
      </c>
      <c r="G26" s="134">
        <f t="shared" si="16"/>
        <v>2023</v>
      </c>
      <c r="H26" s="134">
        <f t="shared" ref="H26:I26" si="17">H3</f>
        <v>2024</v>
      </c>
      <c r="I26" s="134">
        <f t="shared" si="17"/>
        <v>2025</v>
      </c>
      <c r="J26" s="226" t="str">
        <f>CONCATENATE(I26," vs. ",H26)</f>
        <v>2025 vs. 2024</v>
      </c>
      <c r="K26" s="226"/>
      <c r="L26" s="226"/>
      <c r="N26" s="134">
        <f>C26</f>
        <v>2019</v>
      </c>
      <c r="O26" s="134">
        <f t="shared" ref="O26:T26" si="18">D26</f>
        <v>2020</v>
      </c>
      <c r="P26" s="134">
        <f t="shared" si="18"/>
        <v>2021</v>
      </c>
      <c r="Q26" s="134">
        <f t="shared" si="18"/>
        <v>2022</v>
      </c>
      <c r="R26" s="134">
        <f t="shared" si="18"/>
        <v>2023</v>
      </c>
      <c r="S26" s="134">
        <f t="shared" si="18"/>
        <v>2024</v>
      </c>
      <c r="T26" s="134">
        <f t="shared" si="18"/>
        <v>2025</v>
      </c>
    </row>
    <row r="27" spans="1:20" s="59" customFormat="1" x14ac:dyDescent="0.25">
      <c r="A27" s="59" t="s">
        <v>58</v>
      </c>
      <c r="B27" s="59" t="s">
        <v>66</v>
      </c>
      <c r="C27" s="154">
        <v>139916137.94</v>
      </c>
      <c r="D27" s="154">
        <v>129838504.71999997</v>
      </c>
      <c r="E27" s="154">
        <v>169491035.27999997</v>
      </c>
      <c r="F27" s="154">
        <v>183306274.85999998</v>
      </c>
      <c r="G27" s="154">
        <v>153331408.29000008</v>
      </c>
      <c r="H27" s="154">
        <v>158936062.93000004</v>
      </c>
      <c r="I27" s="155">
        <v>144973980.76000002</v>
      </c>
      <c r="J27" s="6" t="str">
        <f t="shared" ref="J27:J32" si="19">IF(I27+H27&gt;0,IF(I27&gt;H27,"▲",IF(I27=H27,"▬","▼")),IF(I27&gt;H27,"▼",IF(I27=H27,"▬","▲")))</f>
        <v>▼</v>
      </c>
      <c r="K27" s="60">
        <f t="shared" ref="K27:K32" si="20">I27-H27</f>
        <v>-13962082.170000017</v>
      </c>
      <c r="L27" s="61">
        <f t="shared" ref="L27:L32" si="21">I27/H27-1</f>
        <v>-8.7847162642686771E-2</v>
      </c>
      <c r="N27" s="62">
        <f t="shared" ref="N27:T31" si="22">C27/C$32</f>
        <v>0.76100406872913107</v>
      </c>
      <c r="O27" s="62">
        <f t="shared" si="22"/>
        <v>0.71675977511525846</v>
      </c>
      <c r="P27" s="62">
        <f t="shared" si="22"/>
        <v>0.64022263977278404</v>
      </c>
      <c r="Q27" s="62">
        <f t="shared" si="22"/>
        <v>0.69750966362676325</v>
      </c>
      <c r="R27" s="62">
        <f t="shared" si="22"/>
        <v>0.71572980894765248</v>
      </c>
      <c r="S27" s="62">
        <f t="shared" si="22"/>
        <v>0.70439818277074862</v>
      </c>
      <c r="T27" s="89">
        <f t="shared" si="22"/>
        <v>0.74561182007158655</v>
      </c>
    </row>
    <row r="28" spans="1:20" s="59" customFormat="1" x14ac:dyDescent="0.25">
      <c r="A28" s="59" t="s">
        <v>59</v>
      </c>
      <c r="B28" s="59" t="s">
        <v>67</v>
      </c>
      <c r="C28" s="156">
        <v>18643.099999999999</v>
      </c>
      <c r="D28" s="156">
        <v>17409.099999999999</v>
      </c>
      <c r="E28" s="156">
        <v>40937.800000000003</v>
      </c>
      <c r="F28" s="156">
        <v>68499.350000000006</v>
      </c>
      <c r="G28" s="156">
        <v>4377.54</v>
      </c>
      <c r="H28" s="156">
        <v>231369.25</v>
      </c>
      <c r="I28" s="155">
        <v>271461.92000000004</v>
      </c>
      <c r="J28" s="6" t="str">
        <f t="shared" si="19"/>
        <v>▲</v>
      </c>
      <c r="K28" s="60">
        <f t="shared" si="20"/>
        <v>40092.670000000042</v>
      </c>
      <c r="L28" s="61">
        <f>I28/H28-1</f>
        <v>0.17328434958405259</v>
      </c>
      <c r="N28" s="63">
        <f t="shared" si="22"/>
        <v>1.0139984681258179E-4</v>
      </c>
      <c r="O28" s="63">
        <f t="shared" si="22"/>
        <v>9.6105100931872834E-5</v>
      </c>
      <c r="P28" s="63">
        <f t="shared" si="22"/>
        <v>1.546353548386343E-4</v>
      </c>
      <c r="Q28" s="63">
        <f t="shared" si="22"/>
        <v>2.6065097124276332E-4</v>
      </c>
      <c r="R28" s="63">
        <f t="shared" si="22"/>
        <v>2.0433751328592229E-5</v>
      </c>
      <c r="S28" s="63">
        <f t="shared" si="22"/>
        <v>1.025419129205499E-3</v>
      </c>
      <c r="T28" s="89">
        <f t="shared" si="22"/>
        <v>1.3961485722489961E-3</v>
      </c>
    </row>
    <row r="29" spans="1:20" s="59" customFormat="1" x14ac:dyDescent="0.25">
      <c r="A29" s="59" t="s">
        <v>60</v>
      </c>
      <c r="B29" s="59" t="s">
        <v>68</v>
      </c>
      <c r="C29" s="156">
        <v>286432.85000000003</v>
      </c>
      <c r="D29" s="156">
        <v>320970.99</v>
      </c>
      <c r="E29" s="156">
        <v>488677.3</v>
      </c>
      <c r="F29" s="156">
        <v>721836.0700000003</v>
      </c>
      <c r="G29" s="156">
        <v>425121.62000000011</v>
      </c>
      <c r="H29" s="156">
        <v>403436.57000000012</v>
      </c>
      <c r="I29" s="155">
        <v>542531.95000000007</v>
      </c>
      <c r="J29" s="6" t="str">
        <f t="shared" si="19"/>
        <v>▲</v>
      </c>
      <c r="K29" s="60">
        <f t="shared" si="20"/>
        <v>139095.37999999995</v>
      </c>
      <c r="L29" s="61">
        <f t="shared" si="21"/>
        <v>0.34477633001886732</v>
      </c>
      <c r="N29" s="63">
        <f t="shared" si="22"/>
        <v>1.5579086692712706E-3</v>
      </c>
      <c r="O29" s="63">
        <f t="shared" si="22"/>
        <v>1.7718865070654513E-3</v>
      </c>
      <c r="P29" s="63">
        <f t="shared" si="22"/>
        <v>1.8458927369591365E-3</v>
      </c>
      <c r="Q29" s="63">
        <f t="shared" si="22"/>
        <v>2.7467015778041598E-3</v>
      </c>
      <c r="R29" s="63">
        <f t="shared" si="22"/>
        <v>1.9844089300128116E-3</v>
      </c>
      <c r="S29" s="63">
        <f t="shared" si="22"/>
        <v>1.7880145105672145E-3</v>
      </c>
      <c r="T29" s="89">
        <f t="shared" si="22"/>
        <v>2.7902816254742604E-3</v>
      </c>
    </row>
    <row r="30" spans="1:20" s="59" customFormat="1" x14ac:dyDescent="0.25">
      <c r="A30" s="59" t="s">
        <v>61</v>
      </c>
      <c r="B30" s="59" t="s">
        <v>69</v>
      </c>
      <c r="C30" s="156">
        <v>38612117.799999997</v>
      </c>
      <c r="D30" s="156">
        <v>45457832.159999996</v>
      </c>
      <c r="E30" s="156">
        <v>89734867.799999997</v>
      </c>
      <c r="F30" s="156">
        <v>71556260.069999978</v>
      </c>
      <c r="G30" s="156">
        <v>53057503.010000013</v>
      </c>
      <c r="H30" s="156">
        <v>60156404</v>
      </c>
      <c r="I30" s="155">
        <v>43539070.909999996</v>
      </c>
      <c r="J30" s="6" t="str">
        <f t="shared" si="19"/>
        <v>▼</v>
      </c>
      <c r="K30" s="60">
        <f t="shared" si="20"/>
        <v>-16617333.090000004</v>
      </c>
      <c r="L30" s="61">
        <f t="shared" si="21"/>
        <v>-0.27623547926834191</v>
      </c>
      <c r="N30" s="63">
        <f t="shared" si="22"/>
        <v>0.21001136238229492</v>
      </c>
      <c r="O30" s="63">
        <f t="shared" si="22"/>
        <v>0.25094516935860756</v>
      </c>
      <c r="P30" s="63">
        <f t="shared" si="22"/>
        <v>0.33895771447539774</v>
      </c>
      <c r="Q30" s="63">
        <f t="shared" si="22"/>
        <v>0.27228300247732651</v>
      </c>
      <c r="R30" s="63">
        <f t="shared" si="22"/>
        <v>0.24766508646919821</v>
      </c>
      <c r="S30" s="63">
        <f t="shared" si="22"/>
        <v>0.26661074194524209</v>
      </c>
      <c r="T30" s="89">
        <f t="shared" si="22"/>
        <v>0.22392463623643524</v>
      </c>
    </row>
    <row r="31" spans="1:20" s="59" customFormat="1" ht="15.75" thickBot="1" x14ac:dyDescent="0.3">
      <c r="A31" s="59" t="s">
        <v>62</v>
      </c>
      <c r="B31" s="59" t="s">
        <v>70</v>
      </c>
      <c r="C31" s="156">
        <v>5023948.0399999991</v>
      </c>
      <c r="D31" s="156">
        <v>5511755.2900000028</v>
      </c>
      <c r="E31" s="156">
        <v>4982128.9300000006</v>
      </c>
      <c r="F31" s="156">
        <v>7148183.7700000098</v>
      </c>
      <c r="G31" s="156">
        <v>7412443.6600000029</v>
      </c>
      <c r="H31" s="156">
        <v>5906561.6600000001</v>
      </c>
      <c r="I31" s="87">
        <v>5109223.919999999</v>
      </c>
      <c r="J31" s="6" t="str">
        <f t="shared" si="19"/>
        <v>▼</v>
      </c>
      <c r="K31" s="60">
        <f t="shared" si="20"/>
        <v>-797337.74000000115</v>
      </c>
      <c r="L31" s="61">
        <f t="shared" si="21"/>
        <v>-0.13499185920629175</v>
      </c>
      <c r="N31" s="63">
        <f t="shared" si="22"/>
        <v>2.7325260372490116E-2</v>
      </c>
      <c r="O31" s="63">
        <f t="shared" si="22"/>
        <v>3.0427063918136741E-2</v>
      </c>
      <c r="P31" s="63">
        <f t="shared" si="22"/>
        <v>1.8819117660020215E-2</v>
      </c>
      <c r="Q31" s="63">
        <f t="shared" si="22"/>
        <v>2.7199981346863293E-2</v>
      </c>
      <c r="R31" s="63">
        <f t="shared" si="22"/>
        <v>3.4600261901807892E-2</v>
      </c>
      <c r="S31" s="63">
        <f t="shared" si="22"/>
        <v>2.6177641644236593E-2</v>
      </c>
      <c r="T31" s="89">
        <f t="shared" si="22"/>
        <v>2.6277113494255166E-2</v>
      </c>
    </row>
    <row r="32" spans="1:20" s="18" customFormat="1" ht="15.75" thickBot="1" x14ac:dyDescent="0.3">
      <c r="A32" s="19" t="s">
        <v>54</v>
      </c>
      <c r="B32" s="19"/>
      <c r="C32" s="20">
        <f t="shared" ref="C32:H32" si="23">SUM(C27:C31)</f>
        <v>183857279.72999999</v>
      </c>
      <c r="D32" s="20">
        <f t="shared" si="23"/>
        <v>181146472.25999996</v>
      </c>
      <c r="E32" s="20">
        <f t="shared" si="23"/>
        <v>264737647.11000001</v>
      </c>
      <c r="F32" s="20">
        <f t="shared" si="23"/>
        <v>262801054.11999997</v>
      </c>
      <c r="G32" s="20">
        <f t="shared" si="23"/>
        <v>214230854.12000009</v>
      </c>
      <c r="H32" s="20">
        <f t="shared" si="23"/>
        <v>225633834.41000003</v>
      </c>
      <c r="I32" s="88">
        <f t="shared" ref="I32" si="24">SUM(I27:I31)</f>
        <v>194436269.45999998</v>
      </c>
      <c r="J32" s="50" t="str">
        <f t="shared" si="19"/>
        <v>▼</v>
      </c>
      <c r="K32" s="41">
        <f t="shared" si="20"/>
        <v>-31197564.950000048</v>
      </c>
      <c r="L32" s="14">
        <f t="shared" si="21"/>
        <v>-0.13826634215376954</v>
      </c>
      <c r="N32" s="28">
        <f t="shared" ref="N32:T32" si="25">SUM(N28:N31)</f>
        <v>0.23899593127086888</v>
      </c>
      <c r="O32" s="28">
        <f t="shared" si="25"/>
        <v>0.28324022488474165</v>
      </c>
      <c r="P32" s="29">
        <f t="shared" si="25"/>
        <v>0.35977736022721574</v>
      </c>
      <c r="Q32" s="29">
        <f t="shared" si="25"/>
        <v>0.30249033637323675</v>
      </c>
      <c r="R32" s="29">
        <f t="shared" si="25"/>
        <v>0.28427019105234752</v>
      </c>
      <c r="S32" s="29">
        <f t="shared" si="25"/>
        <v>0.29560181722925138</v>
      </c>
      <c r="T32" s="90">
        <f t="shared" si="25"/>
        <v>0.25438817992841367</v>
      </c>
    </row>
    <row r="33" spans="1:28" s="18" customFormat="1" x14ac:dyDescent="0.25">
      <c r="A33" s="25"/>
      <c r="B33" s="25"/>
      <c r="C33" s="25">
        <f t="shared" ref="C33:H33" si="26">C32-C4</f>
        <v>0.10000002384185791</v>
      </c>
      <c r="D33" s="25">
        <f t="shared" si="26"/>
        <v>0.26999998092651367</v>
      </c>
      <c r="E33" s="25">
        <f t="shared" si="26"/>
        <v>0.11000001430511475</v>
      </c>
      <c r="F33" s="25">
        <f t="shared" si="26"/>
        <v>0.11999997496604919</v>
      </c>
      <c r="G33" s="25">
        <f t="shared" si="26"/>
        <v>0.12000009417533875</v>
      </c>
      <c r="H33" s="25">
        <f t="shared" si="26"/>
        <v>0.4100000262260437</v>
      </c>
      <c r="I33" s="25">
        <f t="shared" ref="I33" si="27">I32-I4</f>
        <v>0.45999997854232788</v>
      </c>
      <c r="J33" s="51"/>
      <c r="K33" s="26"/>
      <c r="L33" s="27"/>
      <c r="S33" s="32"/>
    </row>
    <row r="34" spans="1:28" s="18" customFormat="1" x14ac:dyDescent="0.25">
      <c r="A34" s="74"/>
      <c r="B34" s="227" t="s">
        <v>209</v>
      </c>
      <c r="C34" s="227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179" t="s">
        <v>208</v>
      </c>
      <c r="O34" s="179"/>
      <c r="P34" s="179"/>
      <c r="Q34" s="53"/>
      <c r="R34" s="53"/>
      <c r="S34" s="32"/>
      <c r="T34" s="53"/>
      <c r="V34" s="228" t="s">
        <v>204</v>
      </c>
      <c r="W34" s="228"/>
      <c r="X34" s="229" t="s">
        <v>206</v>
      </c>
      <c r="Y34" s="229"/>
      <c r="Z34" s="229"/>
      <c r="AA34" s="229"/>
      <c r="AB34" s="229"/>
    </row>
    <row r="35" spans="1:28" s="18" customFormat="1" x14ac:dyDescent="0.25">
      <c r="A35" s="74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32"/>
      <c r="T35" s="53"/>
    </row>
    <row r="36" spans="1:28" s="18" customFormat="1" x14ac:dyDescent="0.25">
      <c r="A36" s="74"/>
      <c r="B36" s="133"/>
      <c r="C36" s="134">
        <f t="shared" ref="C36:H36" si="28">C3</f>
        <v>2019</v>
      </c>
      <c r="D36" s="134">
        <f t="shared" si="28"/>
        <v>2020</v>
      </c>
      <c r="E36" s="134">
        <f t="shared" si="28"/>
        <v>2021</v>
      </c>
      <c r="F36" s="134">
        <f t="shared" si="28"/>
        <v>2022</v>
      </c>
      <c r="G36" s="134">
        <f t="shared" si="28"/>
        <v>2023</v>
      </c>
      <c r="H36" s="134">
        <f t="shared" si="28"/>
        <v>2024</v>
      </c>
      <c r="I36" s="134">
        <f t="shared" ref="I36" si="29">I3</f>
        <v>2025</v>
      </c>
      <c r="J36" s="226" t="str">
        <f>CONCATENATE(I36," vs. ",H36)</f>
        <v>2025 vs. 2024</v>
      </c>
      <c r="K36" s="226"/>
      <c r="L36" s="226"/>
      <c r="M36" s="135"/>
      <c r="N36" s="134">
        <f>C36</f>
        <v>2019</v>
      </c>
      <c r="O36" s="134">
        <f t="shared" ref="O36" si="30">D36</f>
        <v>2020</v>
      </c>
      <c r="P36" s="134">
        <f t="shared" ref="P36" si="31">E36</f>
        <v>2021</v>
      </c>
      <c r="Q36" s="134">
        <f t="shared" ref="Q36" si="32">F36</f>
        <v>2022</v>
      </c>
      <c r="R36" s="134">
        <f t="shared" ref="R36" si="33">G36</f>
        <v>2023</v>
      </c>
      <c r="S36" s="134">
        <f t="shared" ref="S36" si="34">H36</f>
        <v>2024</v>
      </c>
      <c r="T36" s="134">
        <f t="shared" ref="T36" si="35">I36</f>
        <v>2025</v>
      </c>
    </row>
    <row r="37" spans="1:28" s="18" customFormat="1" ht="30" x14ac:dyDescent="0.25">
      <c r="A37" s="129"/>
      <c r="B37" s="140" t="s">
        <v>193</v>
      </c>
      <c r="C37" s="157">
        <v>103347658.91</v>
      </c>
      <c r="D37" s="157">
        <v>101171874.89999998</v>
      </c>
      <c r="E37" s="157">
        <v>125387822.75</v>
      </c>
      <c r="F37" s="157">
        <v>127314643.90000001</v>
      </c>
      <c r="G37" s="157">
        <v>109074941.45000003</v>
      </c>
      <c r="H37" s="157">
        <v>117962247.67000003</v>
      </c>
      <c r="I37" s="158">
        <v>112705448.75</v>
      </c>
      <c r="J37" s="6" t="str">
        <f t="shared" ref="J37:J41" si="36">IF(I37+H37&gt;0,IF(I37&gt;H37,"▲",IF(I37=H37,"▬","▼")),IF(I37&gt;H37,"▼",IF(I37=H37,"▬","▲")))</f>
        <v>▼</v>
      </c>
      <c r="K37" s="10">
        <f t="shared" ref="K37" si="37">I37-H37</f>
        <v>-5256798.9200000316</v>
      </c>
      <c r="L37" s="11">
        <f t="shared" ref="L37" si="38">I37/H37-1</f>
        <v>-4.4563400781459817E-2</v>
      </c>
      <c r="N37" s="130">
        <f>C37/C$41</f>
        <v>0.5621080604573786</v>
      </c>
      <c r="O37" s="130">
        <f t="shared" ref="O37:O40" si="39">D37/D$41</f>
        <v>0.55850866780771602</v>
      </c>
      <c r="P37" s="130">
        <f t="shared" ref="P37:P40" si="40">E37/E$41</f>
        <v>0.47363049463796375</v>
      </c>
      <c r="Q37" s="130">
        <f t="shared" ref="Q37:Q40" si="41">F37/F$41</f>
        <v>0.48445256175367429</v>
      </c>
      <c r="R37" s="130">
        <f t="shared" ref="R37:R40" si="42">G37/G$41</f>
        <v>0.5091467421816952</v>
      </c>
      <c r="S37" s="130">
        <f t="shared" ref="S37:S40" si="43">H37/H$41</f>
        <v>0.52280389587162013</v>
      </c>
      <c r="T37" s="91">
        <f t="shared" ref="T37:T40" si="44">I37/I$41</f>
        <v>0.57965239233920851</v>
      </c>
    </row>
    <row r="38" spans="1:28" s="18" customFormat="1" x14ac:dyDescent="0.25">
      <c r="A38" s="129"/>
      <c r="B38" s="141" t="s">
        <v>194</v>
      </c>
      <c r="C38" s="159">
        <v>30961367.02</v>
      </c>
      <c r="D38" s="159">
        <v>23154618.529999994</v>
      </c>
      <c r="E38" s="159">
        <v>38271305.11999999</v>
      </c>
      <c r="F38" s="159">
        <v>46502131.649999984</v>
      </c>
      <c r="G38" s="159">
        <v>37905250.480000019</v>
      </c>
      <c r="H38" s="159">
        <v>34424642.269999996</v>
      </c>
      <c r="I38" s="160">
        <v>26256942.330000006</v>
      </c>
      <c r="J38" s="6" t="str">
        <f t="shared" si="36"/>
        <v>▼</v>
      </c>
      <c r="K38" s="10">
        <f t="shared" ref="K38:K40" si="45">I38-H38</f>
        <v>-8167699.9399999902</v>
      </c>
      <c r="L38" s="11">
        <f t="shared" ref="L38:L41" si="46">I38/H38-1</f>
        <v>-0.23726317548745846</v>
      </c>
      <c r="N38" s="131">
        <f t="shared" ref="N38:N40" si="47">C38/C$41</f>
        <v>0.16839891825587602</v>
      </c>
      <c r="O38" s="131">
        <f t="shared" si="39"/>
        <v>0.12782263016839826</v>
      </c>
      <c r="P38" s="131">
        <f t="shared" si="40"/>
        <v>0.14456313840433144</v>
      </c>
      <c r="Q38" s="131">
        <f t="shared" si="41"/>
        <v>0.1769480408125236</v>
      </c>
      <c r="R38" s="131">
        <f t="shared" si="42"/>
        <v>0.17693646713823782</v>
      </c>
      <c r="S38" s="131">
        <f t="shared" si="43"/>
        <v>0.15256861791147358</v>
      </c>
      <c r="T38" s="91">
        <f t="shared" si="44"/>
        <v>0.13504138092611193</v>
      </c>
    </row>
    <row r="39" spans="1:28" s="18" customFormat="1" ht="30" x14ac:dyDescent="0.25">
      <c r="A39" s="129"/>
      <c r="B39" s="141" t="s">
        <v>195</v>
      </c>
      <c r="C39" s="161">
        <v>5607112.0099999998</v>
      </c>
      <c r="D39" s="161">
        <v>5512011.29</v>
      </c>
      <c r="E39" s="161">
        <v>5831907.4100000001</v>
      </c>
      <c r="F39" s="161">
        <v>9489499.3099999987</v>
      </c>
      <c r="G39" s="161">
        <v>6351216.3600000003</v>
      </c>
      <c r="H39" s="161">
        <v>6549172.9899999993</v>
      </c>
      <c r="I39" s="162">
        <v>6011589.6799999988</v>
      </c>
      <c r="J39" s="6" t="str">
        <f t="shared" si="36"/>
        <v>▼</v>
      </c>
      <c r="K39" s="10">
        <f t="shared" si="45"/>
        <v>-537583.31000000052</v>
      </c>
      <c r="L39" s="11">
        <f t="shared" si="46"/>
        <v>-8.2084151818991868E-2</v>
      </c>
      <c r="N39" s="131">
        <f t="shared" si="47"/>
        <v>3.0497090015876523E-2</v>
      </c>
      <c r="O39" s="131">
        <f t="shared" si="39"/>
        <v>3.0428477139144042E-2</v>
      </c>
      <c r="P39" s="131">
        <f t="shared" si="40"/>
        <v>2.2029006730488954E-2</v>
      </c>
      <c r="Q39" s="131">
        <f t="shared" si="41"/>
        <v>3.6109061060565273E-2</v>
      </c>
      <c r="R39" s="131">
        <f t="shared" si="42"/>
        <v>2.9646599627719383E-2</v>
      </c>
      <c r="S39" s="131">
        <f t="shared" si="43"/>
        <v>2.9025668987654903E-2</v>
      </c>
      <c r="T39" s="91">
        <f t="shared" si="44"/>
        <v>3.0918046806265847E-2</v>
      </c>
    </row>
    <row r="40" spans="1:28" s="18" customFormat="1" ht="15.75" thickBot="1" x14ac:dyDescent="0.3">
      <c r="A40" s="129"/>
      <c r="B40" s="141" t="s">
        <v>196</v>
      </c>
      <c r="C40" s="159">
        <v>43941141.789999999</v>
      </c>
      <c r="D40" s="159">
        <v>51307967.540000007</v>
      </c>
      <c r="E40" s="159">
        <v>95246611.829999998</v>
      </c>
      <c r="F40" s="159">
        <v>79494779.260000005</v>
      </c>
      <c r="G40" s="159">
        <v>60899445.830000013</v>
      </c>
      <c r="H40" s="159">
        <v>66697771.480000004</v>
      </c>
      <c r="I40" s="92">
        <v>49462288.699999996</v>
      </c>
      <c r="J40" s="6" t="str">
        <f t="shared" si="36"/>
        <v>▼</v>
      </c>
      <c r="K40" s="10">
        <f t="shared" si="45"/>
        <v>-17235482.780000009</v>
      </c>
      <c r="L40" s="11">
        <f t="shared" si="46"/>
        <v>-0.2584116739967578</v>
      </c>
      <c r="N40" s="131">
        <f t="shared" si="47"/>
        <v>0.23899593127086893</v>
      </c>
      <c r="O40" s="131">
        <f t="shared" si="39"/>
        <v>0.2832402248847416</v>
      </c>
      <c r="P40" s="131">
        <f t="shared" si="40"/>
        <v>0.35977736022721574</v>
      </c>
      <c r="Q40" s="131">
        <f t="shared" si="41"/>
        <v>0.3024903363732368</v>
      </c>
      <c r="R40" s="131">
        <f t="shared" si="42"/>
        <v>0.28427019105234752</v>
      </c>
      <c r="S40" s="131">
        <f t="shared" si="43"/>
        <v>0.29560181722925138</v>
      </c>
      <c r="T40" s="91">
        <f t="shared" si="44"/>
        <v>0.25438817992841362</v>
      </c>
    </row>
    <row r="41" spans="1:28" s="18" customFormat="1" ht="15.75" thickBot="1" x14ac:dyDescent="0.3">
      <c r="A41" s="74"/>
      <c r="B41" s="19"/>
      <c r="C41" s="20">
        <f t="shared" ref="C41:H41" si="48">SUM(C37:C40)</f>
        <v>183857279.72999999</v>
      </c>
      <c r="D41" s="20">
        <f t="shared" si="48"/>
        <v>181146472.25999999</v>
      </c>
      <c r="E41" s="20">
        <f t="shared" si="48"/>
        <v>264737647.11000001</v>
      </c>
      <c r="F41" s="20">
        <f t="shared" si="48"/>
        <v>262801054.12</v>
      </c>
      <c r="G41" s="20">
        <f t="shared" si="48"/>
        <v>214230854.12000009</v>
      </c>
      <c r="H41" s="20">
        <f t="shared" si="48"/>
        <v>225633834.41000003</v>
      </c>
      <c r="I41" s="88">
        <f t="shared" ref="I41" si="49">SUM(I37:I40)</f>
        <v>194436269.46000001</v>
      </c>
      <c r="J41" s="50" t="str">
        <f t="shared" si="36"/>
        <v>▼</v>
      </c>
      <c r="K41" s="41">
        <f>I41-H41</f>
        <v>-31197564.950000018</v>
      </c>
      <c r="L41" s="14">
        <f t="shared" si="46"/>
        <v>-0.13826634215376943</v>
      </c>
      <c r="N41" s="28">
        <f>SUM(N37:N40)</f>
        <v>1</v>
      </c>
      <c r="O41" s="28">
        <f t="shared" ref="O41:T41" si="50">SUM(O37:O40)</f>
        <v>1</v>
      </c>
      <c r="P41" s="29">
        <f t="shared" si="50"/>
        <v>0.99999999999999989</v>
      </c>
      <c r="Q41" s="29">
        <f t="shared" si="50"/>
        <v>1</v>
      </c>
      <c r="R41" s="29">
        <f t="shared" si="50"/>
        <v>1</v>
      </c>
      <c r="S41" s="29">
        <f t="shared" si="50"/>
        <v>1</v>
      </c>
      <c r="T41" s="90">
        <f t="shared" si="50"/>
        <v>1</v>
      </c>
    </row>
    <row r="42" spans="1:28" s="18" customFormat="1" x14ac:dyDescent="0.25">
      <c r="A42" s="74"/>
      <c r="B42" s="74"/>
      <c r="C42" s="74">
        <f t="shared" ref="C42:H42" si="51">C41-C32</f>
        <v>0</v>
      </c>
      <c r="D42" s="74">
        <f t="shared" si="51"/>
        <v>0</v>
      </c>
      <c r="E42" s="74">
        <f t="shared" si="51"/>
        <v>0</v>
      </c>
      <c r="F42" s="74">
        <f t="shared" si="51"/>
        <v>0</v>
      </c>
      <c r="G42" s="74">
        <f t="shared" si="51"/>
        <v>0</v>
      </c>
      <c r="H42" s="74">
        <f t="shared" si="51"/>
        <v>0</v>
      </c>
      <c r="I42" s="74">
        <f t="shared" ref="I42" si="52">I41-I32</f>
        <v>0</v>
      </c>
      <c r="J42" s="75"/>
      <c r="K42" s="76"/>
      <c r="L42" s="77"/>
      <c r="S42" s="32"/>
    </row>
    <row r="43" spans="1:28" x14ac:dyDescent="0.25">
      <c r="A43" s="24" t="s">
        <v>56</v>
      </c>
      <c r="B43" s="180" t="s">
        <v>229</v>
      </c>
      <c r="H43" s="32"/>
      <c r="I43" s="32"/>
      <c r="L43" s="132"/>
    </row>
    <row r="44" spans="1:28" ht="15.75" thickBot="1" x14ac:dyDescent="0.3">
      <c r="D44" s="81"/>
      <c r="E44" s="81"/>
      <c r="F44" s="81"/>
      <c r="G44" s="81"/>
      <c r="H44" s="81"/>
      <c r="I44" s="81"/>
    </row>
    <row r="45" spans="1:28" s="135" customFormat="1" ht="15.75" thickBot="1" x14ac:dyDescent="0.3">
      <c r="A45" s="30" t="s">
        <v>0</v>
      </c>
      <c r="B45" s="133" t="s">
        <v>18</v>
      </c>
      <c r="C45" s="134">
        <f t="shared" ref="C45:H45" si="53">C36</f>
        <v>2019</v>
      </c>
      <c r="D45" s="134">
        <f t="shared" si="53"/>
        <v>2020</v>
      </c>
      <c r="E45" s="134">
        <f t="shared" si="53"/>
        <v>2021</v>
      </c>
      <c r="F45" s="134">
        <f t="shared" si="53"/>
        <v>2022</v>
      </c>
      <c r="G45" s="134">
        <f t="shared" si="53"/>
        <v>2023</v>
      </c>
      <c r="H45" s="134">
        <f t="shared" si="53"/>
        <v>2024</v>
      </c>
      <c r="I45" s="134">
        <f t="shared" ref="I45" si="54">I36</f>
        <v>2025</v>
      </c>
      <c r="J45" s="226" t="str">
        <f>CONCATENATE(I45," vs. ",H45)</f>
        <v>2025 vs. 2024</v>
      </c>
      <c r="K45" s="226"/>
      <c r="L45" s="226"/>
      <c r="S45" s="136"/>
    </row>
    <row r="46" spans="1:28" x14ac:dyDescent="0.25">
      <c r="A46" s="5" t="s">
        <v>43</v>
      </c>
      <c r="B46" s="96" t="s">
        <v>44</v>
      </c>
      <c r="C46" s="6">
        <v>1865024.04</v>
      </c>
      <c r="D46" s="6">
        <v>1705120</v>
      </c>
      <c r="E46" s="6">
        <v>2199955</v>
      </c>
      <c r="F46" s="6">
        <v>2247585</v>
      </c>
      <c r="G46" s="6">
        <v>2190008</v>
      </c>
      <c r="H46" s="6">
        <v>2155377</v>
      </c>
      <c r="I46" s="92">
        <v>2024451</v>
      </c>
      <c r="J46" s="6" t="str">
        <f t="shared" ref="J46:J48" si="55">IF(I46+H46&gt;0,IF(I46&gt;H46,"▲",IF(I46=H46,"▬","▼")),IF(I46&gt;H46,"▼",IF(I46=H46,"▬","▲")))</f>
        <v>▼</v>
      </c>
      <c r="K46" s="22">
        <f t="shared" ref="K46:K48" si="56">I46-H46</f>
        <v>-130926</v>
      </c>
      <c r="L46" s="11">
        <f t="shared" ref="L46:L48" si="57">I46/H46-1</f>
        <v>-6.0743897703278815E-2</v>
      </c>
    </row>
    <row r="47" spans="1:28" ht="15.75" thickBot="1" x14ac:dyDescent="0.3">
      <c r="A47" s="5" t="s">
        <v>45</v>
      </c>
      <c r="B47" s="53" t="s">
        <v>234</v>
      </c>
      <c r="C47" s="6">
        <v>2275212.77</v>
      </c>
      <c r="D47" s="6">
        <v>2262430.7799999998</v>
      </c>
      <c r="E47" s="6">
        <v>2259451</v>
      </c>
      <c r="F47" s="6">
        <v>2206664</v>
      </c>
      <c r="G47" s="6">
        <v>2113978</v>
      </c>
      <c r="H47" s="6">
        <v>1839055</v>
      </c>
      <c r="I47" s="92">
        <v>1517554</v>
      </c>
      <c r="J47" s="6" t="str">
        <f t="shared" si="55"/>
        <v>▼</v>
      </c>
      <c r="K47" s="22">
        <f t="shared" si="56"/>
        <v>-321501</v>
      </c>
      <c r="L47" s="11">
        <f t="shared" si="57"/>
        <v>-0.17481858889484003</v>
      </c>
    </row>
    <row r="48" spans="1:28" ht="15.75" thickBot="1" x14ac:dyDescent="0.3">
      <c r="A48" s="9" t="s">
        <v>53</v>
      </c>
      <c r="B48" s="9"/>
      <c r="C48" s="13">
        <f t="shared" ref="C48:H48" si="58">SUM(C46:C47)</f>
        <v>4140236.81</v>
      </c>
      <c r="D48" s="13">
        <f t="shared" si="58"/>
        <v>3967550.78</v>
      </c>
      <c r="E48" s="13">
        <f t="shared" si="58"/>
        <v>4459406</v>
      </c>
      <c r="F48" s="13">
        <f t="shared" si="58"/>
        <v>4454249</v>
      </c>
      <c r="G48" s="13">
        <f t="shared" si="58"/>
        <v>4303986</v>
      </c>
      <c r="H48" s="13">
        <f t="shared" si="58"/>
        <v>3994432</v>
      </c>
      <c r="I48" s="88">
        <f t="shared" ref="I48" si="59">SUM(I46:I47)</f>
        <v>3542005</v>
      </c>
      <c r="J48" s="50" t="str">
        <f t="shared" si="55"/>
        <v>▼</v>
      </c>
      <c r="K48" s="23">
        <f t="shared" si="56"/>
        <v>-452427</v>
      </c>
      <c r="L48" s="14">
        <f t="shared" si="57"/>
        <v>-0.11326441406437759</v>
      </c>
    </row>
    <row r="49" spans="2:12" x14ac:dyDescent="0.25">
      <c r="C49" s="124">
        <f t="shared" ref="C49:H49" si="60">C48-C5</f>
        <v>0</v>
      </c>
      <c r="D49" s="124">
        <f t="shared" si="60"/>
        <v>0.5</v>
      </c>
      <c r="E49" s="124">
        <f t="shared" si="60"/>
        <v>0</v>
      </c>
      <c r="F49" s="124">
        <f t="shared" si="60"/>
        <v>0</v>
      </c>
      <c r="G49" s="124">
        <f t="shared" si="60"/>
        <v>0</v>
      </c>
      <c r="H49" s="124">
        <f t="shared" si="60"/>
        <v>0</v>
      </c>
      <c r="I49" s="124">
        <f t="shared" ref="I49" si="61">I48-I5</f>
        <v>0</v>
      </c>
    </row>
    <row r="51" spans="2:12" x14ac:dyDescent="0.25">
      <c r="B51" s="180" t="s">
        <v>230</v>
      </c>
      <c r="H51" s="32"/>
      <c r="I51" s="32"/>
      <c r="L51" s="132"/>
    </row>
    <row r="53" spans="2:12" x14ac:dyDescent="0.25">
      <c r="B53" s="133" t="s">
        <v>18</v>
      </c>
      <c r="C53" s="134">
        <f t="shared" ref="C53:H53" si="62">C45</f>
        <v>2019</v>
      </c>
      <c r="D53" s="134">
        <f t="shared" si="62"/>
        <v>2020</v>
      </c>
      <c r="E53" s="134">
        <f t="shared" si="62"/>
        <v>2021</v>
      </c>
      <c r="F53" s="134">
        <f t="shared" si="62"/>
        <v>2022</v>
      </c>
      <c r="G53" s="134">
        <f t="shared" si="62"/>
        <v>2023</v>
      </c>
      <c r="H53" s="134">
        <f t="shared" si="62"/>
        <v>2024</v>
      </c>
      <c r="I53" s="134">
        <f t="shared" ref="I53" si="63">I45</f>
        <v>2025</v>
      </c>
      <c r="J53" s="226" t="str">
        <f>CONCATENATE(I53," vs. ",H53)</f>
        <v>2025 vs. 2024</v>
      </c>
      <c r="K53" s="226"/>
      <c r="L53" s="226"/>
    </row>
    <row r="54" spans="2:12" x14ac:dyDescent="0.25">
      <c r="B54" s="96" t="s">
        <v>46</v>
      </c>
      <c r="C54" s="6">
        <v>86398.37</v>
      </c>
      <c r="D54" s="6">
        <v>105139</v>
      </c>
      <c r="E54" s="6">
        <v>128719</v>
      </c>
      <c r="F54" s="6">
        <v>316730</v>
      </c>
      <c r="G54" s="6">
        <v>983890</v>
      </c>
      <c r="H54" s="6">
        <v>1013506</v>
      </c>
      <c r="I54" s="6">
        <v>787321</v>
      </c>
      <c r="J54" s="6" t="str">
        <f t="shared" ref="J54:J62" si="64">IF(I54+H54&gt;0,IF(I54&gt;H54,"▲",IF(I54=H54,"▬","▼")),IF(I54&gt;H54,"▼",IF(I54=H54,"▬","▲")))</f>
        <v>▼</v>
      </c>
      <c r="K54" s="22">
        <f t="shared" ref="K54:K62" si="65">I54-H54</f>
        <v>-226185</v>
      </c>
      <c r="L54" s="11">
        <f t="shared" ref="L54" si="66">I54/H54-1</f>
        <v>-0.22317085443993423</v>
      </c>
    </row>
    <row r="55" spans="2:12" x14ac:dyDescent="0.25">
      <c r="B55" s="96" t="s">
        <v>233</v>
      </c>
      <c r="C55" s="6">
        <v>0</v>
      </c>
      <c r="D55" s="6">
        <v>0</v>
      </c>
      <c r="E55" s="6">
        <v>0</v>
      </c>
      <c r="F55" s="6">
        <v>274153</v>
      </c>
      <c r="G55" s="6">
        <v>2402662</v>
      </c>
      <c r="H55" s="6">
        <v>243138</v>
      </c>
      <c r="I55" s="6">
        <v>0</v>
      </c>
      <c r="J55" s="6" t="str">
        <f t="shared" ref="J55" si="67">IF(I55+H55&gt;0,IF(I55&gt;H55,"▲",IF(I55=H55,"▬","▼")),IF(I55&gt;H55,"▼",IF(I55=H55,"▬","▲")))</f>
        <v>▼</v>
      </c>
      <c r="K55" s="22">
        <f t="shared" ref="K55" si="68">I55-H55</f>
        <v>-243138</v>
      </c>
      <c r="L55" s="11">
        <f t="shared" ref="L55" si="69">I55/H55-1</f>
        <v>-1</v>
      </c>
    </row>
    <row r="56" spans="2:12" x14ac:dyDescent="0.25">
      <c r="B56" s="148" t="s">
        <v>47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  <c r="H56" s="163">
        <v>0</v>
      </c>
      <c r="I56" s="163">
        <v>0</v>
      </c>
      <c r="J56" s="149" t="str">
        <f t="shared" si="64"/>
        <v>▬</v>
      </c>
      <c r="K56" s="150">
        <f t="shared" si="65"/>
        <v>0</v>
      </c>
      <c r="L56" s="151"/>
    </row>
    <row r="57" spans="2:12" x14ac:dyDescent="0.25">
      <c r="B57" s="148" t="s">
        <v>48</v>
      </c>
      <c r="C57" s="163">
        <v>0</v>
      </c>
      <c r="D57" s="163">
        <v>0</v>
      </c>
      <c r="E57" s="163">
        <v>0</v>
      </c>
      <c r="F57" s="163">
        <v>46745700</v>
      </c>
      <c r="G57" s="163">
        <v>0</v>
      </c>
      <c r="H57" s="163">
        <v>0</v>
      </c>
      <c r="I57" s="163">
        <v>0</v>
      </c>
      <c r="J57" s="149" t="str">
        <f t="shared" si="64"/>
        <v>▬</v>
      </c>
      <c r="K57" s="150">
        <f t="shared" si="65"/>
        <v>0</v>
      </c>
      <c r="L57" s="151"/>
    </row>
    <row r="58" spans="2:12" x14ac:dyDescent="0.25">
      <c r="B58" s="148" t="s">
        <v>49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  <c r="H58" s="163">
        <v>0</v>
      </c>
      <c r="I58" s="163">
        <v>0</v>
      </c>
      <c r="J58" s="149" t="str">
        <f t="shared" si="64"/>
        <v>▬</v>
      </c>
      <c r="K58" s="150">
        <f t="shared" si="65"/>
        <v>0</v>
      </c>
      <c r="L58" s="151"/>
    </row>
    <row r="59" spans="2:12" x14ac:dyDescent="0.25">
      <c r="B59" s="148" t="s">
        <v>50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  <c r="H59" s="163">
        <v>0</v>
      </c>
      <c r="I59" s="163">
        <v>0</v>
      </c>
      <c r="J59" s="149" t="str">
        <f t="shared" si="64"/>
        <v>▬</v>
      </c>
      <c r="K59" s="150">
        <f t="shared" si="65"/>
        <v>0</v>
      </c>
      <c r="L59" s="151"/>
    </row>
    <row r="60" spans="2:12" x14ac:dyDescent="0.25">
      <c r="B60" s="148" t="s">
        <v>51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  <c r="H60" s="163">
        <v>0</v>
      </c>
      <c r="I60" s="163">
        <v>1500000</v>
      </c>
      <c r="J60" s="149" t="str">
        <f t="shared" si="64"/>
        <v>▲</v>
      </c>
      <c r="K60" s="150">
        <f t="shared" si="65"/>
        <v>1500000</v>
      </c>
      <c r="L60" s="151"/>
    </row>
    <row r="61" spans="2:12" ht="15.75" thickBot="1" x14ac:dyDescent="0.3">
      <c r="B61" s="148" t="s">
        <v>52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  <c r="H61" s="163">
        <v>0</v>
      </c>
      <c r="I61" s="163">
        <v>0</v>
      </c>
      <c r="J61" s="149" t="str">
        <f t="shared" si="64"/>
        <v>▬</v>
      </c>
      <c r="K61" s="150">
        <f t="shared" si="65"/>
        <v>0</v>
      </c>
      <c r="L61" s="151"/>
    </row>
    <row r="62" spans="2:12" ht="15.75" thickBot="1" x14ac:dyDescent="0.3">
      <c r="B62" s="9"/>
      <c r="C62" s="13">
        <f t="shared" ref="C62:I62" si="70">SUM(C54:C61)</f>
        <v>86398.37</v>
      </c>
      <c r="D62" s="13">
        <f t="shared" si="70"/>
        <v>105139</v>
      </c>
      <c r="E62" s="13">
        <f t="shared" si="70"/>
        <v>128719</v>
      </c>
      <c r="F62" s="13">
        <f t="shared" si="70"/>
        <v>47336583</v>
      </c>
      <c r="G62" s="13">
        <f t="shared" si="70"/>
        <v>3386552</v>
      </c>
      <c r="H62" s="88">
        <f t="shared" si="70"/>
        <v>1256644</v>
      </c>
      <c r="I62" s="88">
        <f t="shared" si="70"/>
        <v>2287321</v>
      </c>
      <c r="J62" s="50" t="str">
        <f t="shared" si="64"/>
        <v>▲</v>
      </c>
      <c r="K62" s="23">
        <f t="shared" si="65"/>
        <v>1030677</v>
      </c>
      <c r="L62" s="14">
        <f t="shared" ref="L62" si="71">I62/H62-1</f>
        <v>0.82018216774201758</v>
      </c>
    </row>
    <row r="63" spans="2:12" x14ac:dyDescent="0.25">
      <c r="C63" s="124">
        <f t="shared" ref="C63:I63" si="72">C62-C13</f>
        <v>0</v>
      </c>
      <c r="D63" s="124">
        <f t="shared" si="72"/>
        <v>-8.000000000174623E-2</v>
      </c>
      <c r="E63" s="124">
        <f t="shared" si="72"/>
        <v>0</v>
      </c>
      <c r="F63" s="124">
        <f t="shared" si="72"/>
        <v>0</v>
      </c>
      <c r="G63" s="124">
        <f t="shared" si="72"/>
        <v>0</v>
      </c>
      <c r="H63" s="124">
        <f t="shared" si="72"/>
        <v>0</v>
      </c>
      <c r="I63" s="124">
        <f t="shared" si="72"/>
        <v>0</v>
      </c>
    </row>
    <row r="64" spans="2:12" x14ac:dyDescent="0.25">
      <c r="B64" s="24" t="s">
        <v>65</v>
      </c>
    </row>
    <row r="66" spans="2:2" x14ac:dyDescent="0.25">
      <c r="B66" s="53" t="s">
        <v>231</v>
      </c>
    </row>
  </sheetData>
  <mergeCells count="8">
    <mergeCell ref="J53:L53"/>
    <mergeCell ref="B34:C34"/>
    <mergeCell ref="V34:W34"/>
    <mergeCell ref="X34:AB34"/>
    <mergeCell ref="J3:L3"/>
    <mergeCell ref="J45:L45"/>
    <mergeCell ref="J26:L26"/>
    <mergeCell ref="J36:L36"/>
  </mergeCells>
  <conditionalFormatting sqref="B12">
    <cfRule type="duplicateValues" dxfId="17" priority="9"/>
  </conditionalFormatting>
  <conditionalFormatting sqref="B13 B4:B11 B16">
    <cfRule type="duplicateValues" dxfId="16" priority="25"/>
  </conditionalFormatting>
  <conditionalFormatting sqref="B14:B15">
    <cfRule type="duplicateValues" dxfId="15" priority="1"/>
  </conditionalFormatting>
  <conditionalFormatting sqref="B17">
    <cfRule type="duplicateValues" dxfId="14" priority="13"/>
  </conditionalFormatting>
  <conditionalFormatting sqref="B19">
    <cfRule type="duplicateValues" dxfId="13" priority="17"/>
  </conditionalFormatting>
  <conditionalFormatting sqref="B22">
    <cfRule type="duplicateValues" dxfId="12" priority="5"/>
  </conditionalFormatting>
  <conditionalFormatting sqref="J4:J22 J54:J62">
    <cfRule type="expression" dxfId="11" priority="2">
      <formula>I4=H4</formula>
    </cfRule>
    <cfRule type="expression" dxfId="10" priority="3">
      <formula>I4&lt;H4</formula>
    </cfRule>
    <cfRule type="expression" dxfId="9" priority="4">
      <formula>I4&gt;H4</formula>
    </cfRule>
  </conditionalFormatting>
  <conditionalFormatting sqref="J27:J32">
    <cfRule type="expression" dxfId="8" priority="44">
      <formula>I27=H27</formula>
    </cfRule>
    <cfRule type="expression" dxfId="7" priority="45">
      <formula>I27&lt;H27</formula>
    </cfRule>
    <cfRule type="expression" dxfId="6" priority="46">
      <formula>I27&gt;H27</formula>
    </cfRule>
  </conditionalFormatting>
  <conditionalFormatting sqref="J37:J41">
    <cfRule type="expression" dxfId="5" priority="32">
      <formula>I37=H37</formula>
    </cfRule>
    <cfRule type="expression" dxfId="4" priority="33">
      <formula>I37&lt;H37</formula>
    </cfRule>
    <cfRule type="expression" dxfId="3" priority="34">
      <formula>I37&gt;H37</formula>
    </cfRule>
  </conditionalFormatting>
  <conditionalFormatting sqref="J46:J48">
    <cfRule type="expression" dxfId="2" priority="38">
      <formula>I46=H46</formula>
    </cfRule>
    <cfRule type="expression" dxfId="1" priority="39">
      <formula>I46&lt;H46</formula>
    </cfRule>
    <cfRule type="expression" dxfId="0" priority="40">
      <formula>I46&gt;H46</formula>
    </cfRule>
  </conditionalFormatting>
  <dataValidations count="1">
    <dataValidation type="list" allowBlank="1" showInputMessage="1" showErrorMessage="1" sqref="X34:AB34" xr:uid="{65AEC2E4-918C-4530-8C41-22F52351A7AF}">
      <formula1>list9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45"/>
  <sheetViews>
    <sheetView zoomScale="90" zoomScaleNormal="90" workbookViewId="0">
      <pane xSplit="1" ySplit="3" topLeftCell="B4" activePane="bottomRight" state="frozen"/>
      <selection activeCell="B1" sqref="B1"/>
      <selection pane="topRight" activeCell="C1" sqref="C1"/>
      <selection pane="bottomLeft" activeCell="B4" sqref="B4"/>
      <selection pane="bottomRight" activeCell="J32" sqref="J32"/>
    </sheetView>
  </sheetViews>
  <sheetFormatPr defaultRowHeight="15" x14ac:dyDescent="0.25"/>
  <cols>
    <col min="1" max="1" width="8.85546875" style="143"/>
    <col min="2" max="2" width="65.5703125" style="143" bestFit="1" customWidth="1"/>
    <col min="3" max="3" width="68.42578125" style="143" hidden="1" customWidth="1"/>
    <col min="4" max="10" width="15.85546875" style="143" bestFit="1" customWidth="1"/>
    <col min="11" max="222" width="8.85546875" style="143"/>
    <col min="223" max="223" width="56.42578125" style="143" customWidth="1"/>
    <col min="224" max="224" width="65" style="143" bestFit="1" customWidth="1"/>
    <col min="225" max="225" width="12.5703125" style="143" bestFit="1" customWidth="1"/>
    <col min="226" max="226" width="11.5703125" style="143" bestFit="1" customWidth="1"/>
    <col min="227" max="227" width="12.42578125" style="143" bestFit="1" customWidth="1"/>
    <col min="228" max="229" width="11.5703125" style="143" bestFit="1" customWidth="1"/>
    <col min="230" max="230" width="2.42578125" style="143" customWidth="1"/>
    <col min="231" max="478" width="8.85546875" style="143"/>
    <col min="479" max="479" width="56.42578125" style="143" customWidth="1"/>
    <col min="480" max="480" width="65" style="143" bestFit="1" customWidth="1"/>
    <col min="481" max="481" width="12.5703125" style="143" bestFit="1" customWidth="1"/>
    <col min="482" max="482" width="11.5703125" style="143" bestFit="1" customWidth="1"/>
    <col min="483" max="483" width="12.42578125" style="143" bestFit="1" customWidth="1"/>
    <col min="484" max="485" width="11.5703125" style="143" bestFit="1" customWidth="1"/>
    <col min="486" max="486" width="2.42578125" style="143" customWidth="1"/>
    <col min="487" max="734" width="8.85546875" style="143"/>
    <col min="735" max="735" width="56.42578125" style="143" customWidth="1"/>
    <col min="736" max="736" width="65" style="143" bestFit="1" customWidth="1"/>
    <col min="737" max="737" width="12.5703125" style="143" bestFit="1" customWidth="1"/>
    <col min="738" max="738" width="11.5703125" style="143" bestFit="1" customWidth="1"/>
    <col min="739" max="739" width="12.42578125" style="143" bestFit="1" customWidth="1"/>
    <col min="740" max="741" width="11.5703125" style="143" bestFit="1" customWidth="1"/>
    <col min="742" max="742" width="2.42578125" style="143" customWidth="1"/>
    <col min="743" max="990" width="8.85546875" style="143"/>
    <col min="991" max="991" width="56.42578125" style="143" customWidth="1"/>
    <col min="992" max="992" width="65" style="143" bestFit="1" customWidth="1"/>
    <col min="993" max="993" width="12.5703125" style="143" bestFit="1" customWidth="1"/>
    <col min="994" max="994" width="11.5703125" style="143" bestFit="1" customWidth="1"/>
    <col min="995" max="995" width="12.42578125" style="143" bestFit="1" customWidth="1"/>
    <col min="996" max="997" width="11.5703125" style="143" bestFit="1" customWidth="1"/>
    <col min="998" max="998" width="2.42578125" style="143" customWidth="1"/>
    <col min="999" max="1246" width="8.85546875" style="143"/>
    <col min="1247" max="1247" width="56.42578125" style="143" customWidth="1"/>
    <col min="1248" max="1248" width="65" style="143" bestFit="1" customWidth="1"/>
    <col min="1249" max="1249" width="12.5703125" style="143" bestFit="1" customWidth="1"/>
    <col min="1250" max="1250" width="11.5703125" style="143" bestFit="1" customWidth="1"/>
    <col min="1251" max="1251" width="12.42578125" style="143" bestFit="1" customWidth="1"/>
    <col min="1252" max="1253" width="11.5703125" style="143" bestFit="1" customWidth="1"/>
    <col min="1254" max="1254" width="2.42578125" style="143" customWidth="1"/>
    <col min="1255" max="1502" width="8.85546875" style="143"/>
    <col min="1503" max="1503" width="56.42578125" style="143" customWidth="1"/>
    <col min="1504" max="1504" width="65" style="143" bestFit="1" customWidth="1"/>
    <col min="1505" max="1505" width="12.5703125" style="143" bestFit="1" customWidth="1"/>
    <col min="1506" max="1506" width="11.5703125" style="143" bestFit="1" customWidth="1"/>
    <col min="1507" max="1507" width="12.42578125" style="143" bestFit="1" customWidth="1"/>
    <col min="1508" max="1509" width="11.5703125" style="143" bestFit="1" customWidth="1"/>
    <col min="1510" max="1510" width="2.42578125" style="143" customWidth="1"/>
    <col min="1511" max="1758" width="8.85546875" style="143"/>
    <col min="1759" max="1759" width="56.42578125" style="143" customWidth="1"/>
    <col min="1760" max="1760" width="65" style="143" bestFit="1" customWidth="1"/>
    <col min="1761" max="1761" width="12.5703125" style="143" bestFit="1" customWidth="1"/>
    <col min="1762" max="1762" width="11.5703125" style="143" bestFit="1" customWidth="1"/>
    <col min="1763" max="1763" width="12.42578125" style="143" bestFit="1" customWidth="1"/>
    <col min="1764" max="1765" width="11.5703125" style="143" bestFit="1" customWidth="1"/>
    <col min="1766" max="1766" width="2.42578125" style="143" customWidth="1"/>
    <col min="1767" max="2014" width="8.85546875" style="143"/>
    <col min="2015" max="2015" width="56.42578125" style="143" customWidth="1"/>
    <col min="2016" max="2016" width="65" style="143" bestFit="1" customWidth="1"/>
    <col min="2017" max="2017" width="12.5703125" style="143" bestFit="1" customWidth="1"/>
    <col min="2018" max="2018" width="11.5703125" style="143" bestFit="1" customWidth="1"/>
    <col min="2019" max="2019" width="12.42578125" style="143" bestFit="1" customWidth="1"/>
    <col min="2020" max="2021" width="11.5703125" style="143" bestFit="1" customWidth="1"/>
    <col min="2022" max="2022" width="2.42578125" style="143" customWidth="1"/>
    <col min="2023" max="2270" width="8.85546875" style="143"/>
    <col min="2271" max="2271" width="56.42578125" style="143" customWidth="1"/>
    <col min="2272" max="2272" width="65" style="143" bestFit="1" customWidth="1"/>
    <col min="2273" max="2273" width="12.5703125" style="143" bestFit="1" customWidth="1"/>
    <col min="2274" max="2274" width="11.5703125" style="143" bestFit="1" customWidth="1"/>
    <col min="2275" max="2275" width="12.42578125" style="143" bestFit="1" customWidth="1"/>
    <col min="2276" max="2277" width="11.5703125" style="143" bestFit="1" customWidth="1"/>
    <col min="2278" max="2278" width="2.42578125" style="143" customWidth="1"/>
    <col min="2279" max="2526" width="8.85546875" style="143"/>
    <col min="2527" max="2527" width="56.42578125" style="143" customWidth="1"/>
    <col min="2528" max="2528" width="65" style="143" bestFit="1" customWidth="1"/>
    <col min="2529" max="2529" width="12.5703125" style="143" bestFit="1" customWidth="1"/>
    <col min="2530" max="2530" width="11.5703125" style="143" bestFit="1" customWidth="1"/>
    <col min="2531" max="2531" width="12.42578125" style="143" bestFit="1" customWidth="1"/>
    <col min="2532" max="2533" width="11.5703125" style="143" bestFit="1" customWidth="1"/>
    <col min="2534" max="2534" width="2.42578125" style="143" customWidth="1"/>
    <col min="2535" max="2782" width="8.85546875" style="143"/>
    <col min="2783" max="2783" width="56.42578125" style="143" customWidth="1"/>
    <col min="2784" max="2784" width="65" style="143" bestFit="1" customWidth="1"/>
    <col min="2785" max="2785" width="12.5703125" style="143" bestFit="1" customWidth="1"/>
    <col min="2786" max="2786" width="11.5703125" style="143" bestFit="1" customWidth="1"/>
    <col min="2787" max="2787" width="12.42578125" style="143" bestFit="1" customWidth="1"/>
    <col min="2788" max="2789" width="11.5703125" style="143" bestFit="1" customWidth="1"/>
    <col min="2790" max="2790" width="2.42578125" style="143" customWidth="1"/>
    <col min="2791" max="3038" width="8.85546875" style="143"/>
    <col min="3039" max="3039" width="56.42578125" style="143" customWidth="1"/>
    <col min="3040" max="3040" width="65" style="143" bestFit="1" customWidth="1"/>
    <col min="3041" max="3041" width="12.5703125" style="143" bestFit="1" customWidth="1"/>
    <col min="3042" max="3042" width="11.5703125" style="143" bestFit="1" customWidth="1"/>
    <col min="3043" max="3043" width="12.42578125" style="143" bestFit="1" customWidth="1"/>
    <col min="3044" max="3045" width="11.5703125" style="143" bestFit="1" customWidth="1"/>
    <col min="3046" max="3046" width="2.42578125" style="143" customWidth="1"/>
    <col min="3047" max="3294" width="8.85546875" style="143"/>
    <col min="3295" max="3295" width="56.42578125" style="143" customWidth="1"/>
    <col min="3296" max="3296" width="65" style="143" bestFit="1" customWidth="1"/>
    <col min="3297" max="3297" width="12.5703125" style="143" bestFit="1" customWidth="1"/>
    <col min="3298" max="3298" width="11.5703125" style="143" bestFit="1" customWidth="1"/>
    <col min="3299" max="3299" width="12.42578125" style="143" bestFit="1" customWidth="1"/>
    <col min="3300" max="3301" width="11.5703125" style="143" bestFit="1" customWidth="1"/>
    <col min="3302" max="3302" width="2.42578125" style="143" customWidth="1"/>
    <col min="3303" max="3550" width="8.85546875" style="143"/>
    <col min="3551" max="3551" width="56.42578125" style="143" customWidth="1"/>
    <col min="3552" max="3552" width="65" style="143" bestFit="1" customWidth="1"/>
    <col min="3553" max="3553" width="12.5703125" style="143" bestFit="1" customWidth="1"/>
    <col min="3554" max="3554" width="11.5703125" style="143" bestFit="1" customWidth="1"/>
    <col min="3555" max="3555" width="12.42578125" style="143" bestFit="1" customWidth="1"/>
    <col min="3556" max="3557" width="11.5703125" style="143" bestFit="1" customWidth="1"/>
    <col min="3558" max="3558" width="2.42578125" style="143" customWidth="1"/>
    <col min="3559" max="3806" width="8.85546875" style="143"/>
    <col min="3807" max="3807" width="56.42578125" style="143" customWidth="1"/>
    <col min="3808" max="3808" width="65" style="143" bestFit="1" customWidth="1"/>
    <col min="3809" max="3809" width="12.5703125" style="143" bestFit="1" customWidth="1"/>
    <col min="3810" max="3810" width="11.5703125" style="143" bestFit="1" customWidth="1"/>
    <col min="3811" max="3811" width="12.42578125" style="143" bestFit="1" customWidth="1"/>
    <col min="3812" max="3813" width="11.5703125" style="143" bestFit="1" customWidth="1"/>
    <col min="3814" max="3814" width="2.42578125" style="143" customWidth="1"/>
    <col min="3815" max="4062" width="8.85546875" style="143"/>
    <col min="4063" max="4063" width="56.42578125" style="143" customWidth="1"/>
    <col min="4064" max="4064" width="65" style="143" bestFit="1" customWidth="1"/>
    <col min="4065" max="4065" width="12.5703125" style="143" bestFit="1" customWidth="1"/>
    <col min="4066" max="4066" width="11.5703125" style="143" bestFit="1" customWidth="1"/>
    <col min="4067" max="4067" width="12.42578125" style="143" bestFit="1" customWidth="1"/>
    <col min="4068" max="4069" width="11.5703125" style="143" bestFit="1" customWidth="1"/>
    <col min="4070" max="4070" width="2.42578125" style="143" customWidth="1"/>
    <col min="4071" max="4318" width="8.85546875" style="143"/>
    <col min="4319" max="4319" width="56.42578125" style="143" customWidth="1"/>
    <col min="4320" max="4320" width="65" style="143" bestFit="1" customWidth="1"/>
    <col min="4321" max="4321" width="12.5703125" style="143" bestFit="1" customWidth="1"/>
    <col min="4322" max="4322" width="11.5703125" style="143" bestFit="1" customWidth="1"/>
    <col min="4323" max="4323" width="12.42578125" style="143" bestFit="1" customWidth="1"/>
    <col min="4324" max="4325" width="11.5703125" style="143" bestFit="1" customWidth="1"/>
    <col min="4326" max="4326" width="2.42578125" style="143" customWidth="1"/>
    <col min="4327" max="4574" width="8.85546875" style="143"/>
    <col min="4575" max="4575" width="56.42578125" style="143" customWidth="1"/>
    <col min="4576" max="4576" width="65" style="143" bestFit="1" customWidth="1"/>
    <col min="4577" max="4577" width="12.5703125" style="143" bestFit="1" customWidth="1"/>
    <col min="4578" max="4578" width="11.5703125" style="143" bestFit="1" customWidth="1"/>
    <col min="4579" max="4579" width="12.42578125" style="143" bestFit="1" customWidth="1"/>
    <col min="4580" max="4581" width="11.5703125" style="143" bestFit="1" customWidth="1"/>
    <col min="4582" max="4582" width="2.42578125" style="143" customWidth="1"/>
    <col min="4583" max="4830" width="8.85546875" style="143"/>
    <col min="4831" max="4831" width="56.42578125" style="143" customWidth="1"/>
    <col min="4832" max="4832" width="65" style="143" bestFit="1" customWidth="1"/>
    <col min="4833" max="4833" width="12.5703125" style="143" bestFit="1" customWidth="1"/>
    <col min="4834" max="4834" width="11.5703125" style="143" bestFit="1" customWidth="1"/>
    <col min="4835" max="4835" width="12.42578125" style="143" bestFit="1" customWidth="1"/>
    <col min="4836" max="4837" width="11.5703125" style="143" bestFit="1" customWidth="1"/>
    <col min="4838" max="4838" width="2.42578125" style="143" customWidth="1"/>
    <col min="4839" max="5086" width="8.85546875" style="143"/>
    <col min="5087" max="5087" width="56.42578125" style="143" customWidth="1"/>
    <col min="5088" max="5088" width="65" style="143" bestFit="1" customWidth="1"/>
    <col min="5089" max="5089" width="12.5703125" style="143" bestFit="1" customWidth="1"/>
    <col min="5090" max="5090" width="11.5703125" style="143" bestFit="1" customWidth="1"/>
    <col min="5091" max="5091" width="12.42578125" style="143" bestFit="1" customWidth="1"/>
    <col min="5092" max="5093" width="11.5703125" style="143" bestFit="1" customWidth="1"/>
    <col min="5094" max="5094" width="2.42578125" style="143" customWidth="1"/>
    <col min="5095" max="5342" width="8.85546875" style="143"/>
    <col min="5343" max="5343" width="56.42578125" style="143" customWidth="1"/>
    <col min="5344" max="5344" width="65" style="143" bestFit="1" customWidth="1"/>
    <col min="5345" max="5345" width="12.5703125" style="143" bestFit="1" customWidth="1"/>
    <col min="5346" max="5346" width="11.5703125" style="143" bestFit="1" customWidth="1"/>
    <col min="5347" max="5347" width="12.42578125" style="143" bestFit="1" customWidth="1"/>
    <col min="5348" max="5349" width="11.5703125" style="143" bestFit="1" customWidth="1"/>
    <col min="5350" max="5350" width="2.42578125" style="143" customWidth="1"/>
    <col min="5351" max="5598" width="8.85546875" style="143"/>
    <col min="5599" max="5599" width="56.42578125" style="143" customWidth="1"/>
    <col min="5600" max="5600" width="65" style="143" bestFit="1" customWidth="1"/>
    <col min="5601" max="5601" width="12.5703125" style="143" bestFit="1" customWidth="1"/>
    <col min="5602" max="5602" width="11.5703125" style="143" bestFit="1" customWidth="1"/>
    <col min="5603" max="5603" width="12.42578125" style="143" bestFit="1" customWidth="1"/>
    <col min="5604" max="5605" width="11.5703125" style="143" bestFit="1" customWidth="1"/>
    <col min="5606" max="5606" width="2.42578125" style="143" customWidth="1"/>
    <col min="5607" max="5854" width="8.85546875" style="143"/>
    <col min="5855" max="5855" width="56.42578125" style="143" customWidth="1"/>
    <col min="5856" max="5856" width="65" style="143" bestFit="1" customWidth="1"/>
    <col min="5857" max="5857" width="12.5703125" style="143" bestFit="1" customWidth="1"/>
    <col min="5858" max="5858" width="11.5703125" style="143" bestFit="1" customWidth="1"/>
    <col min="5859" max="5859" width="12.42578125" style="143" bestFit="1" customWidth="1"/>
    <col min="5860" max="5861" width="11.5703125" style="143" bestFit="1" customWidth="1"/>
    <col min="5862" max="5862" width="2.42578125" style="143" customWidth="1"/>
    <col min="5863" max="6110" width="8.85546875" style="143"/>
    <col min="6111" max="6111" width="56.42578125" style="143" customWidth="1"/>
    <col min="6112" max="6112" width="65" style="143" bestFit="1" customWidth="1"/>
    <col min="6113" max="6113" width="12.5703125" style="143" bestFit="1" customWidth="1"/>
    <col min="6114" max="6114" width="11.5703125" style="143" bestFit="1" customWidth="1"/>
    <col min="6115" max="6115" width="12.42578125" style="143" bestFit="1" customWidth="1"/>
    <col min="6116" max="6117" width="11.5703125" style="143" bestFit="1" customWidth="1"/>
    <col min="6118" max="6118" width="2.42578125" style="143" customWidth="1"/>
    <col min="6119" max="6366" width="8.85546875" style="143"/>
    <col min="6367" max="6367" width="56.42578125" style="143" customWidth="1"/>
    <col min="6368" max="6368" width="65" style="143" bestFit="1" customWidth="1"/>
    <col min="6369" max="6369" width="12.5703125" style="143" bestFit="1" customWidth="1"/>
    <col min="6370" max="6370" width="11.5703125" style="143" bestFit="1" customWidth="1"/>
    <col min="6371" max="6371" width="12.42578125" style="143" bestFit="1" customWidth="1"/>
    <col min="6372" max="6373" width="11.5703125" style="143" bestFit="1" customWidth="1"/>
    <col min="6374" max="6374" width="2.42578125" style="143" customWidth="1"/>
    <col min="6375" max="6622" width="8.85546875" style="143"/>
    <col min="6623" max="6623" width="56.42578125" style="143" customWidth="1"/>
    <col min="6624" max="6624" width="65" style="143" bestFit="1" customWidth="1"/>
    <col min="6625" max="6625" width="12.5703125" style="143" bestFit="1" customWidth="1"/>
    <col min="6626" max="6626" width="11.5703125" style="143" bestFit="1" customWidth="1"/>
    <col min="6627" max="6627" width="12.42578125" style="143" bestFit="1" customWidth="1"/>
    <col min="6628" max="6629" width="11.5703125" style="143" bestFit="1" customWidth="1"/>
    <col min="6630" max="6630" width="2.42578125" style="143" customWidth="1"/>
    <col min="6631" max="6878" width="8.85546875" style="143"/>
    <col min="6879" max="6879" width="56.42578125" style="143" customWidth="1"/>
    <col min="6880" max="6880" width="65" style="143" bestFit="1" customWidth="1"/>
    <col min="6881" max="6881" width="12.5703125" style="143" bestFit="1" customWidth="1"/>
    <col min="6882" max="6882" width="11.5703125" style="143" bestFit="1" customWidth="1"/>
    <col min="6883" max="6883" width="12.42578125" style="143" bestFit="1" customWidth="1"/>
    <col min="6884" max="6885" width="11.5703125" style="143" bestFit="1" customWidth="1"/>
    <col min="6886" max="6886" width="2.42578125" style="143" customWidth="1"/>
    <col min="6887" max="7134" width="8.85546875" style="143"/>
    <col min="7135" max="7135" width="56.42578125" style="143" customWidth="1"/>
    <col min="7136" max="7136" width="65" style="143" bestFit="1" customWidth="1"/>
    <col min="7137" max="7137" width="12.5703125" style="143" bestFit="1" customWidth="1"/>
    <col min="7138" max="7138" width="11.5703125" style="143" bestFit="1" customWidth="1"/>
    <col min="7139" max="7139" width="12.42578125" style="143" bestFit="1" customWidth="1"/>
    <col min="7140" max="7141" width="11.5703125" style="143" bestFit="1" customWidth="1"/>
    <col min="7142" max="7142" width="2.42578125" style="143" customWidth="1"/>
    <col min="7143" max="7390" width="8.85546875" style="143"/>
    <col min="7391" max="7391" width="56.42578125" style="143" customWidth="1"/>
    <col min="7392" max="7392" width="65" style="143" bestFit="1" customWidth="1"/>
    <col min="7393" max="7393" width="12.5703125" style="143" bestFit="1" customWidth="1"/>
    <col min="7394" max="7394" width="11.5703125" style="143" bestFit="1" customWidth="1"/>
    <col min="7395" max="7395" width="12.42578125" style="143" bestFit="1" customWidth="1"/>
    <col min="7396" max="7397" width="11.5703125" style="143" bestFit="1" customWidth="1"/>
    <col min="7398" max="7398" width="2.42578125" style="143" customWidth="1"/>
    <col min="7399" max="7646" width="8.85546875" style="143"/>
    <col min="7647" max="7647" width="56.42578125" style="143" customWidth="1"/>
    <col min="7648" max="7648" width="65" style="143" bestFit="1" customWidth="1"/>
    <col min="7649" max="7649" width="12.5703125" style="143" bestFit="1" customWidth="1"/>
    <col min="7650" max="7650" width="11.5703125" style="143" bestFit="1" customWidth="1"/>
    <col min="7651" max="7651" width="12.42578125" style="143" bestFit="1" customWidth="1"/>
    <col min="7652" max="7653" width="11.5703125" style="143" bestFit="1" customWidth="1"/>
    <col min="7654" max="7654" width="2.42578125" style="143" customWidth="1"/>
    <col min="7655" max="7902" width="8.85546875" style="143"/>
    <col min="7903" max="7903" width="56.42578125" style="143" customWidth="1"/>
    <col min="7904" max="7904" width="65" style="143" bestFit="1" customWidth="1"/>
    <col min="7905" max="7905" width="12.5703125" style="143" bestFit="1" customWidth="1"/>
    <col min="7906" max="7906" width="11.5703125" style="143" bestFit="1" customWidth="1"/>
    <col min="7907" max="7907" width="12.42578125" style="143" bestFit="1" customWidth="1"/>
    <col min="7908" max="7909" width="11.5703125" style="143" bestFit="1" customWidth="1"/>
    <col min="7910" max="7910" width="2.42578125" style="143" customWidth="1"/>
    <col min="7911" max="8158" width="8.85546875" style="143"/>
    <col min="8159" max="8159" width="56.42578125" style="143" customWidth="1"/>
    <col min="8160" max="8160" width="65" style="143" bestFit="1" customWidth="1"/>
    <col min="8161" max="8161" width="12.5703125" style="143" bestFit="1" customWidth="1"/>
    <col min="8162" max="8162" width="11.5703125" style="143" bestFit="1" customWidth="1"/>
    <col min="8163" max="8163" width="12.42578125" style="143" bestFit="1" customWidth="1"/>
    <col min="8164" max="8165" width="11.5703125" style="143" bestFit="1" customWidth="1"/>
    <col min="8166" max="8166" width="2.42578125" style="143" customWidth="1"/>
    <col min="8167" max="8414" width="8.85546875" style="143"/>
    <col min="8415" max="8415" width="56.42578125" style="143" customWidth="1"/>
    <col min="8416" max="8416" width="65" style="143" bestFit="1" customWidth="1"/>
    <col min="8417" max="8417" width="12.5703125" style="143" bestFit="1" customWidth="1"/>
    <col min="8418" max="8418" width="11.5703125" style="143" bestFit="1" customWidth="1"/>
    <col min="8419" max="8419" width="12.42578125" style="143" bestFit="1" customWidth="1"/>
    <col min="8420" max="8421" width="11.5703125" style="143" bestFit="1" customWidth="1"/>
    <col min="8422" max="8422" width="2.42578125" style="143" customWidth="1"/>
    <col min="8423" max="8670" width="8.85546875" style="143"/>
    <col min="8671" max="8671" width="56.42578125" style="143" customWidth="1"/>
    <col min="8672" max="8672" width="65" style="143" bestFit="1" customWidth="1"/>
    <col min="8673" max="8673" width="12.5703125" style="143" bestFit="1" customWidth="1"/>
    <col min="8674" max="8674" width="11.5703125" style="143" bestFit="1" customWidth="1"/>
    <col min="8675" max="8675" width="12.42578125" style="143" bestFit="1" customWidth="1"/>
    <col min="8676" max="8677" width="11.5703125" style="143" bestFit="1" customWidth="1"/>
    <col min="8678" max="8678" width="2.42578125" style="143" customWidth="1"/>
    <col min="8679" max="8926" width="8.85546875" style="143"/>
    <col min="8927" max="8927" width="56.42578125" style="143" customWidth="1"/>
    <col min="8928" max="8928" width="65" style="143" bestFit="1" customWidth="1"/>
    <col min="8929" max="8929" width="12.5703125" style="143" bestFit="1" customWidth="1"/>
    <col min="8930" max="8930" width="11.5703125" style="143" bestFit="1" customWidth="1"/>
    <col min="8931" max="8931" width="12.42578125" style="143" bestFit="1" customWidth="1"/>
    <col min="8932" max="8933" width="11.5703125" style="143" bestFit="1" customWidth="1"/>
    <col min="8934" max="8934" width="2.42578125" style="143" customWidth="1"/>
    <col min="8935" max="9182" width="8.85546875" style="143"/>
    <col min="9183" max="9183" width="56.42578125" style="143" customWidth="1"/>
    <col min="9184" max="9184" width="65" style="143" bestFit="1" customWidth="1"/>
    <col min="9185" max="9185" width="12.5703125" style="143" bestFit="1" customWidth="1"/>
    <col min="9186" max="9186" width="11.5703125" style="143" bestFit="1" customWidth="1"/>
    <col min="9187" max="9187" width="12.42578125" style="143" bestFit="1" customWidth="1"/>
    <col min="9188" max="9189" width="11.5703125" style="143" bestFit="1" customWidth="1"/>
    <col min="9190" max="9190" width="2.42578125" style="143" customWidth="1"/>
    <col min="9191" max="9438" width="8.85546875" style="143"/>
    <col min="9439" max="9439" width="56.42578125" style="143" customWidth="1"/>
    <col min="9440" max="9440" width="65" style="143" bestFit="1" customWidth="1"/>
    <col min="9441" max="9441" width="12.5703125" style="143" bestFit="1" customWidth="1"/>
    <col min="9442" max="9442" width="11.5703125" style="143" bestFit="1" customWidth="1"/>
    <col min="9443" max="9443" width="12.42578125" style="143" bestFit="1" customWidth="1"/>
    <col min="9444" max="9445" width="11.5703125" style="143" bestFit="1" customWidth="1"/>
    <col min="9446" max="9446" width="2.42578125" style="143" customWidth="1"/>
    <col min="9447" max="9694" width="8.85546875" style="143"/>
    <col min="9695" max="9695" width="56.42578125" style="143" customWidth="1"/>
    <col min="9696" max="9696" width="65" style="143" bestFit="1" customWidth="1"/>
    <col min="9697" max="9697" width="12.5703125" style="143" bestFit="1" customWidth="1"/>
    <col min="9698" max="9698" width="11.5703125" style="143" bestFit="1" customWidth="1"/>
    <col min="9699" max="9699" width="12.42578125" style="143" bestFit="1" customWidth="1"/>
    <col min="9700" max="9701" width="11.5703125" style="143" bestFit="1" customWidth="1"/>
    <col min="9702" max="9702" width="2.42578125" style="143" customWidth="1"/>
    <col min="9703" max="9950" width="8.85546875" style="143"/>
    <col min="9951" max="9951" width="56.42578125" style="143" customWidth="1"/>
    <col min="9952" max="9952" width="65" style="143" bestFit="1" customWidth="1"/>
    <col min="9953" max="9953" width="12.5703125" style="143" bestFit="1" customWidth="1"/>
    <col min="9954" max="9954" width="11.5703125" style="143" bestFit="1" customWidth="1"/>
    <col min="9955" max="9955" width="12.42578125" style="143" bestFit="1" customWidth="1"/>
    <col min="9956" max="9957" width="11.5703125" style="143" bestFit="1" customWidth="1"/>
    <col min="9958" max="9958" width="2.42578125" style="143" customWidth="1"/>
    <col min="9959" max="10206" width="8.85546875" style="143"/>
    <col min="10207" max="10207" width="56.42578125" style="143" customWidth="1"/>
    <col min="10208" max="10208" width="65" style="143" bestFit="1" customWidth="1"/>
    <col min="10209" max="10209" width="12.5703125" style="143" bestFit="1" customWidth="1"/>
    <col min="10210" max="10210" width="11.5703125" style="143" bestFit="1" customWidth="1"/>
    <col min="10211" max="10211" width="12.42578125" style="143" bestFit="1" customWidth="1"/>
    <col min="10212" max="10213" width="11.5703125" style="143" bestFit="1" customWidth="1"/>
    <col min="10214" max="10214" width="2.42578125" style="143" customWidth="1"/>
    <col min="10215" max="10462" width="8.85546875" style="143"/>
    <col min="10463" max="10463" width="56.42578125" style="143" customWidth="1"/>
    <col min="10464" max="10464" width="65" style="143" bestFit="1" customWidth="1"/>
    <col min="10465" max="10465" width="12.5703125" style="143" bestFit="1" customWidth="1"/>
    <col min="10466" max="10466" width="11.5703125" style="143" bestFit="1" customWidth="1"/>
    <col min="10467" max="10467" width="12.42578125" style="143" bestFit="1" customWidth="1"/>
    <col min="10468" max="10469" width="11.5703125" style="143" bestFit="1" customWidth="1"/>
    <col min="10470" max="10470" width="2.42578125" style="143" customWidth="1"/>
    <col min="10471" max="10718" width="8.85546875" style="143"/>
    <col min="10719" max="10719" width="56.42578125" style="143" customWidth="1"/>
    <col min="10720" max="10720" width="65" style="143" bestFit="1" customWidth="1"/>
    <col min="10721" max="10721" width="12.5703125" style="143" bestFit="1" customWidth="1"/>
    <col min="10722" max="10722" width="11.5703125" style="143" bestFit="1" customWidth="1"/>
    <col min="10723" max="10723" width="12.42578125" style="143" bestFit="1" customWidth="1"/>
    <col min="10724" max="10725" width="11.5703125" style="143" bestFit="1" customWidth="1"/>
    <col min="10726" max="10726" width="2.42578125" style="143" customWidth="1"/>
    <col min="10727" max="10974" width="8.85546875" style="143"/>
    <col min="10975" max="10975" width="56.42578125" style="143" customWidth="1"/>
    <col min="10976" max="10976" width="65" style="143" bestFit="1" customWidth="1"/>
    <col min="10977" max="10977" width="12.5703125" style="143" bestFit="1" customWidth="1"/>
    <col min="10978" max="10978" width="11.5703125" style="143" bestFit="1" customWidth="1"/>
    <col min="10979" max="10979" width="12.42578125" style="143" bestFit="1" customWidth="1"/>
    <col min="10980" max="10981" width="11.5703125" style="143" bestFit="1" customWidth="1"/>
    <col min="10982" max="10982" width="2.42578125" style="143" customWidth="1"/>
    <col min="10983" max="11230" width="8.85546875" style="143"/>
    <col min="11231" max="11231" width="56.42578125" style="143" customWidth="1"/>
    <col min="11232" max="11232" width="65" style="143" bestFit="1" customWidth="1"/>
    <col min="11233" max="11233" width="12.5703125" style="143" bestFit="1" customWidth="1"/>
    <col min="11234" max="11234" width="11.5703125" style="143" bestFit="1" customWidth="1"/>
    <col min="11235" max="11235" width="12.42578125" style="143" bestFit="1" customWidth="1"/>
    <col min="11236" max="11237" width="11.5703125" style="143" bestFit="1" customWidth="1"/>
    <col min="11238" max="11238" width="2.42578125" style="143" customWidth="1"/>
    <col min="11239" max="11486" width="8.85546875" style="143"/>
    <col min="11487" max="11487" width="56.42578125" style="143" customWidth="1"/>
    <col min="11488" max="11488" width="65" style="143" bestFit="1" customWidth="1"/>
    <col min="11489" max="11489" width="12.5703125" style="143" bestFit="1" customWidth="1"/>
    <col min="11490" max="11490" width="11.5703125" style="143" bestFit="1" customWidth="1"/>
    <col min="11491" max="11491" width="12.42578125" style="143" bestFit="1" customWidth="1"/>
    <col min="11492" max="11493" width="11.5703125" style="143" bestFit="1" customWidth="1"/>
    <col min="11494" max="11494" width="2.42578125" style="143" customWidth="1"/>
    <col min="11495" max="11742" width="8.85546875" style="143"/>
    <col min="11743" max="11743" width="56.42578125" style="143" customWidth="1"/>
    <col min="11744" max="11744" width="65" style="143" bestFit="1" customWidth="1"/>
    <col min="11745" max="11745" width="12.5703125" style="143" bestFit="1" customWidth="1"/>
    <col min="11746" max="11746" width="11.5703125" style="143" bestFit="1" customWidth="1"/>
    <col min="11747" max="11747" width="12.42578125" style="143" bestFit="1" customWidth="1"/>
    <col min="11748" max="11749" width="11.5703125" style="143" bestFit="1" customWidth="1"/>
    <col min="11750" max="11750" width="2.42578125" style="143" customWidth="1"/>
    <col min="11751" max="11998" width="8.85546875" style="143"/>
    <col min="11999" max="11999" width="56.42578125" style="143" customWidth="1"/>
    <col min="12000" max="12000" width="65" style="143" bestFit="1" customWidth="1"/>
    <col min="12001" max="12001" width="12.5703125" style="143" bestFit="1" customWidth="1"/>
    <col min="12002" max="12002" width="11.5703125" style="143" bestFit="1" customWidth="1"/>
    <col min="12003" max="12003" width="12.42578125" style="143" bestFit="1" customWidth="1"/>
    <col min="12004" max="12005" width="11.5703125" style="143" bestFit="1" customWidth="1"/>
    <col min="12006" max="12006" width="2.42578125" style="143" customWidth="1"/>
    <col min="12007" max="12254" width="8.85546875" style="143"/>
    <col min="12255" max="12255" width="56.42578125" style="143" customWidth="1"/>
    <col min="12256" max="12256" width="65" style="143" bestFit="1" customWidth="1"/>
    <col min="12257" max="12257" width="12.5703125" style="143" bestFit="1" customWidth="1"/>
    <col min="12258" max="12258" width="11.5703125" style="143" bestFit="1" customWidth="1"/>
    <col min="12259" max="12259" width="12.42578125" style="143" bestFit="1" customWidth="1"/>
    <col min="12260" max="12261" width="11.5703125" style="143" bestFit="1" customWidth="1"/>
    <col min="12262" max="12262" width="2.42578125" style="143" customWidth="1"/>
    <col min="12263" max="12510" width="8.85546875" style="143"/>
    <col min="12511" max="12511" width="56.42578125" style="143" customWidth="1"/>
    <col min="12512" max="12512" width="65" style="143" bestFit="1" customWidth="1"/>
    <col min="12513" max="12513" width="12.5703125" style="143" bestFit="1" customWidth="1"/>
    <col min="12514" max="12514" width="11.5703125" style="143" bestFit="1" customWidth="1"/>
    <col min="12515" max="12515" width="12.42578125" style="143" bestFit="1" customWidth="1"/>
    <col min="12516" max="12517" width="11.5703125" style="143" bestFit="1" customWidth="1"/>
    <col min="12518" max="12518" width="2.42578125" style="143" customWidth="1"/>
    <col min="12519" max="12766" width="8.85546875" style="143"/>
    <col min="12767" max="12767" width="56.42578125" style="143" customWidth="1"/>
    <col min="12768" max="12768" width="65" style="143" bestFit="1" customWidth="1"/>
    <col min="12769" max="12769" width="12.5703125" style="143" bestFit="1" customWidth="1"/>
    <col min="12770" max="12770" width="11.5703125" style="143" bestFit="1" customWidth="1"/>
    <col min="12771" max="12771" width="12.42578125" style="143" bestFit="1" customWidth="1"/>
    <col min="12772" max="12773" width="11.5703125" style="143" bestFit="1" customWidth="1"/>
    <col min="12774" max="12774" width="2.42578125" style="143" customWidth="1"/>
    <col min="12775" max="13022" width="8.85546875" style="143"/>
    <col min="13023" max="13023" width="56.42578125" style="143" customWidth="1"/>
    <col min="13024" max="13024" width="65" style="143" bestFit="1" customWidth="1"/>
    <col min="13025" max="13025" width="12.5703125" style="143" bestFit="1" customWidth="1"/>
    <col min="13026" max="13026" width="11.5703125" style="143" bestFit="1" customWidth="1"/>
    <col min="13027" max="13027" width="12.42578125" style="143" bestFit="1" customWidth="1"/>
    <col min="13028" max="13029" width="11.5703125" style="143" bestFit="1" customWidth="1"/>
    <col min="13030" max="13030" width="2.42578125" style="143" customWidth="1"/>
    <col min="13031" max="13278" width="8.85546875" style="143"/>
    <col min="13279" max="13279" width="56.42578125" style="143" customWidth="1"/>
    <col min="13280" max="13280" width="65" style="143" bestFit="1" customWidth="1"/>
    <col min="13281" max="13281" width="12.5703125" style="143" bestFit="1" customWidth="1"/>
    <col min="13282" max="13282" width="11.5703125" style="143" bestFit="1" customWidth="1"/>
    <col min="13283" max="13283" width="12.42578125" style="143" bestFit="1" customWidth="1"/>
    <col min="13284" max="13285" width="11.5703125" style="143" bestFit="1" customWidth="1"/>
    <col min="13286" max="13286" width="2.42578125" style="143" customWidth="1"/>
    <col min="13287" max="13534" width="8.85546875" style="143"/>
    <col min="13535" max="13535" width="56.42578125" style="143" customWidth="1"/>
    <col min="13536" max="13536" width="65" style="143" bestFit="1" customWidth="1"/>
    <col min="13537" max="13537" width="12.5703125" style="143" bestFit="1" customWidth="1"/>
    <col min="13538" max="13538" width="11.5703125" style="143" bestFit="1" customWidth="1"/>
    <col min="13539" max="13539" width="12.42578125" style="143" bestFit="1" customWidth="1"/>
    <col min="13540" max="13541" width="11.5703125" style="143" bestFit="1" customWidth="1"/>
    <col min="13542" max="13542" width="2.42578125" style="143" customWidth="1"/>
    <col min="13543" max="13790" width="8.85546875" style="143"/>
    <col min="13791" max="13791" width="56.42578125" style="143" customWidth="1"/>
    <col min="13792" max="13792" width="65" style="143" bestFit="1" customWidth="1"/>
    <col min="13793" max="13793" width="12.5703125" style="143" bestFit="1" customWidth="1"/>
    <col min="13794" max="13794" width="11.5703125" style="143" bestFit="1" customWidth="1"/>
    <col min="13795" max="13795" width="12.42578125" style="143" bestFit="1" customWidth="1"/>
    <col min="13796" max="13797" width="11.5703125" style="143" bestFit="1" customWidth="1"/>
    <col min="13798" max="13798" width="2.42578125" style="143" customWidth="1"/>
    <col min="13799" max="14046" width="8.85546875" style="143"/>
    <col min="14047" max="14047" width="56.42578125" style="143" customWidth="1"/>
    <col min="14048" max="14048" width="65" style="143" bestFit="1" customWidth="1"/>
    <col min="14049" max="14049" width="12.5703125" style="143" bestFit="1" customWidth="1"/>
    <col min="14050" max="14050" width="11.5703125" style="143" bestFit="1" customWidth="1"/>
    <col min="14051" max="14051" width="12.42578125" style="143" bestFit="1" customWidth="1"/>
    <col min="14052" max="14053" width="11.5703125" style="143" bestFit="1" customWidth="1"/>
    <col min="14054" max="14054" width="2.42578125" style="143" customWidth="1"/>
    <col min="14055" max="14302" width="8.85546875" style="143"/>
    <col min="14303" max="14303" width="56.42578125" style="143" customWidth="1"/>
    <col min="14304" max="14304" width="65" style="143" bestFit="1" customWidth="1"/>
    <col min="14305" max="14305" width="12.5703125" style="143" bestFit="1" customWidth="1"/>
    <col min="14306" max="14306" width="11.5703125" style="143" bestFit="1" customWidth="1"/>
    <col min="14307" max="14307" width="12.42578125" style="143" bestFit="1" customWidth="1"/>
    <col min="14308" max="14309" width="11.5703125" style="143" bestFit="1" customWidth="1"/>
    <col min="14310" max="14310" width="2.42578125" style="143" customWidth="1"/>
    <col min="14311" max="14558" width="8.85546875" style="143"/>
    <col min="14559" max="14559" width="56.42578125" style="143" customWidth="1"/>
    <col min="14560" max="14560" width="65" style="143" bestFit="1" customWidth="1"/>
    <col min="14561" max="14561" width="12.5703125" style="143" bestFit="1" customWidth="1"/>
    <col min="14562" max="14562" width="11.5703125" style="143" bestFit="1" customWidth="1"/>
    <col min="14563" max="14563" width="12.42578125" style="143" bestFit="1" customWidth="1"/>
    <col min="14564" max="14565" width="11.5703125" style="143" bestFit="1" customWidth="1"/>
    <col min="14566" max="14566" width="2.42578125" style="143" customWidth="1"/>
    <col min="14567" max="14814" width="8.85546875" style="143"/>
    <col min="14815" max="14815" width="56.42578125" style="143" customWidth="1"/>
    <col min="14816" max="14816" width="65" style="143" bestFit="1" customWidth="1"/>
    <col min="14817" max="14817" width="12.5703125" style="143" bestFit="1" customWidth="1"/>
    <col min="14818" max="14818" width="11.5703125" style="143" bestFit="1" customWidth="1"/>
    <col min="14819" max="14819" width="12.42578125" style="143" bestFit="1" customWidth="1"/>
    <col min="14820" max="14821" width="11.5703125" style="143" bestFit="1" customWidth="1"/>
    <col min="14822" max="14822" width="2.42578125" style="143" customWidth="1"/>
    <col min="14823" max="15070" width="8.85546875" style="143"/>
    <col min="15071" max="15071" width="56.42578125" style="143" customWidth="1"/>
    <col min="15072" max="15072" width="65" style="143" bestFit="1" customWidth="1"/>
    <col min="15073" max="15073" width="12.5703125" style="143" bestFit="1" customWidth="1"/>
    <col min="15074" max="15074" width="11.5703125" style="143" bestFit="1" customWidth="1"/>
    <col min="15075" max="15075" width="12.42578125" style="143" bestFit="1" customWidth="1"/>
    <col min="15076" max="15077" width="11.5703125" style="143" bestFit="1" customWidth="1"/>
    <col min="15078" max="15078" width="2.42578125" style="143" customWidth="1"/>
    <col min="15079" max="15326" width="8.85546875" style="143"/>
    <col min="15327" max="15327" width="56.42578125" style="143" customWidth="1"/>
    <col min="15328" max="15328" width="65" style="143" bestFit="1" customWidth="1"/>
    <col min="15329" max="15329" width="12.5703125" style="143" bestFit="1" customWidth="1"/>
    <col min="15330" max="15330" width="11.5703125" style="143" bestFit="1" customWidth="1"/>
    <col min="15331" max="15331" width="12.42578125" style="143" bestFit="1" customWidth="1"/>
    <col min="15332" max="15333" width="11.5703125" style="143" bestFit="1" customWidth="1"/>
    <col min="15334" max="15334" width="2.42578125" style="143" customWidth="1"/>
    <col min="15335" max="15582" width="8.85546875" style="143"/>
    <col min="15583" max="15583" width="56.42578125" style="143" customWidth="1"/>
    <col min="15584" max="15584" width="65" style="143" bestFit="1" customWidth="1"/>
    <col min="15585" max="15585" width="12.5703125" style="143" bestFit="1" customWidth="1"/>
    <col min="15586" max="15586" width="11.5703125" style="143" bestFit="1" customWidth="1"/>
    <col min="15587" max="15587" width="12.42578125" style="143" bestFit="1" customWidth="1"/>
    <col min="15588" max="15589" width="11.5703125" style="143" bestFit="1" customWidth="1"/>
    <col min="15590" max="15590" width="2.42578125" style="143" customWidth="1"/>
    <col min="15591" max="15838" width="8.85546875" style="143"/>
    <col min="15839" max="15839" width="56.42578125" style="143" customWidth="1"/>
    <col min="15840" max="15840" width="65" style="143" bestFit="1" customWidth="1"/>
    <col min="15841" max="15841" width="12.5703125" style="143" bestFit="1" customWidth="1"/>
    <col min="15842" max="15842" width="11.5703125" style="143" bestFit="1" customWidth="1"/>
    <col min="15843" max="15843" width="12.42578125" style="143" bestFit="1" customWidth="1"/>
    <col min="15844" max="15845" width="11.5703125" style="143" bestFit="1" customWidth="1"/>
    <col min="15846" max="15846" width="2.42578125" style="143" customWidth="1"/>
    <col min="15847" max="16094" width="8.85546875" style="143"/>
    <col min="16095" max="16095" width="56.42578125" style="143" customWidth="1"/>
    <col min="16096" max="16096" width="65" style="143" bestFit="1" customWidth="1"/>
    <col min="16097" max="16097" width="12.5703125" style="143" bestFit="1" customWidth="1"/>
    <col min="16098" max="16098" width="11.5703125" style="143" bestFit="1" customWidth="1"/>
    <col min="16099" max="16099" width="12.42578125" style="143" bestFit="1" customWidth="1"/>
    <col min="16100" max="16101" width="11.5703125" style="143" bestFit="1" customWidth="1"/>
    <col min="16102" max="16102" width="2.42578125" style="143" customWidth="1"/>
    <col min="16103" max="16349" width="8.85546875" style="143"/>
    <col min="16350" max="16375" width="9.140625" style="143" customWidth="1"/>
    <col min="16376" max="16384" width="9.140625" style="143"/>
  </cols>
  <sheetData>
    <row r="2" spans="1:10" s="144" customFormat="1" ht="15.75" thickBo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3" t="s">
        <v>259</v>
      </c>
    </row>
    <row r="3" spans="1:10" s="213" customFormat="1" ht="16.5" thickBot="1" x14ac:dyDescent="0.3">
      <c r="A3" s="211"/>
      <c r="B3" s="212"/>
      <c r="C3" s="212"/>
      <c r="D3" s="212">
        <v>2019</v>
      </c>
      <c r="E3" s="212">
        <f>D3+1</f>
        <v>2020</v>
      </c>
      <c r="F3" s="212">
        <f t="shared" ref="F3:J3" si="0">E3+1</f>
        <v>2021</v>
      </c>
      <c r="G3" s="212">
        <f t="shared" si="0"/>
        <v>2022</v>
      </c>
      <c r="H3" s="212">
        <f t="shared" si="0"/>
        <v>2023</v>
      </c>
      <c r="I3" s="212">
        <f t="shared" si="0"/>
        <v>2024</v>
      </c>
      <c r="J3" s="212">
        <f t="shared" si="0"/>
        <v>2025</v>
      </c>
    </row>
    <row r="4" spans="1:10" s="152" customFormat="1" x14ac:dyDescent="0.25">
      <c r="A4" s="143"/>
      <c r="B4" s="195" t="s">
        <v>240</v>
      </c>
      <c r="C4" s="196" t="s">
        <v>241</v>
      </c>
      <c r="D4" s="197"/>
      <c r="E4" s="197"/>
      <c r="F4" s="197"/>
      <c r="G4" s="197"/>
      <c r="H4" s="197"/>
      <c r="I4" s="198"/>
      <c r="J4" s="199"/>
    </row>
    <row r="5" spans="1:10" ht="22.5" x14ac:dyDescent="0.25">
      <c r="B5" s="200" t="s">
        <v>242</v>
      </c>
      <c r="C5" s="201" t="s">
        <v>243</v>
      </c>
      <c r="D5" s="202">
        <v>-7435409.9129000101</v>
      </c>
      <c r="E5" s="202">
        <v>24263477.020735841</v>
      </c>
      <c r="F5" s="202">
        <v>-4583837</v>
      </c>
      <c r="G5" s="202">
        <v>-4129050.4685039199</v>
      </c>
      <c r="H5" s="202">
        <v>5635685.4821567498</v>
      </c>
      <c r="I5" s="203">
        <v>-4273669.3179831998</v>
      </c>
      <c r="J5" s="204">
        <v>2799048.4799999986</v>
      </c>
    </row>
    <row r="6" spans="1:10" s="152" customFormat="1" x14ac:dyDescent="0.25">
      <c r="A6" s="143"/>
      <c r="B6" s="195" t="s">
        <v>244</v>
      </c>
      <c r="C6" s="196" t="s">
        <v>245</v>
      </c>
      <c r="D6" s="202"/>
      <c r="E6" s="202"/>
      <c r="F6" s="202"/>
      <c r="G6" s="202"/>
      <c r="H6" s="202"/>
      <c r="I6" s="203"/>
      <c r="J6" s="204"/>
    </row>
    <row r="7" spans="1:10" x14ac:dyDescent="0.25">
      <c r="B7" s="205" t="s">
        <v>246</v>
      </c>
      <c r="C7" s="206" t="s">
        <v>247</v>
      </c>
      <c r="D7" s="202">
        <v>15677012.949999999</v>
      </c>
      <c r="E7" s="202">
        <v>3786678.68</v>
      </c>
      <c r="F7" s="202">
        <v>-3998271.12</v>
      </c>
      <c r="G7" s="202">
        <v>5773074.8100000005</v>
      </c>
      <c r="H7" s="202">
        <v>54562334</v>
      </c>
      <c r="I7" s="203">
        <v>-13151425.972016796</v>
      </c>
      <c r="J7" s="204">
        <v>-5761533.709999999</v>
      </c>
    </row>
    <row r="8" spans="1:10" x14ac:dyDescent="0.25">
      <c r="B8" s="195" t="s">
        <v>248</v>
      </c>
      <c r="C8" s="196" t="s">
        <v>249</v>
      </c>
      <c r="D8" s="202"/>
      <c r="E8" s="202"/>
      <c r="F8" s="202"/>
      <c r="G8" s="202"/>
      <c r="H8" s="202"/>
      <c r="I8" s="203"/>
      <c r="J8" s="204"/>
    </row>
    <row r="9" spans="1:10" x14ac:dyDescent="0.25">
      <c r="B9" s="200" t="s">
        <v>250</v>
      </c>
      <c r="C9" s="207" t="s">
        <v>251</v>
      </c>
      <c r="D9" s="202">
        <v>-6023168.0199999996</v>
      </c>
      <c r="E9" s="202">
        <v>-16011002.799584899</v>
      </c>
      <c r="F9" s="202">
        <v>3791887</v>
      </c>
      <c r="G9" s="202">
        <v>-11669692.341496101</v>
      </c>
      <c r="H9" s="202">
        <v>-33588231.282156751</v>
      </c>
      <c r="I9" s="203">
        <v>-3390444.71</v>
      </c>
      <c r="J9" s="204">
        <v>11992083.23</v>
      </c>
    </row>
    <row r="10" spans="1:10" ht="22.5" x14ac:dyDescent="0.25">
      <c r="B10" s="195" t="s">
        <v>252</v>
      </c>
      <c r="C10" s="196" t="s">
        <v>253</v>
      </c>
      <c r="D10" s="203">
        <f t="shared" ref="D10:H10" si="1">D5+D7+D9</f>
        <v>2218435.0170999896</v>
      </c>
      <c r="E10" s="203">
        <f t="shared" si="1"/>
        <v>12039152.901150942</v>
      </c>
      <c r="F10" s="203">
        <f t="shared" si="1"/>
        <v>-4790221.120000001</v>
      </c>
      <c r="G10" s="203">
        <f t="shared" si="1"/>
        <v>-10025668.00000002</v>
      </c>
      <c r="H10" s="203">
        <f t="shared" si="1"/>
        <v>26609788.200000003</v>
      </c>
      <c r="I10" s="202">
        <f>I5+I7+I9</f>
        <v>-20815539.999999996</v>
      </c>
      <c r="J10" s="204">
        <f t="shared" ref="J10" si="2">J5+J7+J9</f>
        <v>9029598</v>
      </c>
    </row>
    <row r="11" spans="1:10" ht="30.75" customHeight="1" x14ac:dyDescent="0.25">
      <c r="B11" s="195" t="s">
        <v>254</v>
      </c>
      <c r="C11" s="196" t="s">
        <v>255</v>
      </c>
      <c r="D11" s="208">
        <v>3331010.1876000483</v>
      </c>
      <c r="E11" s="208">
        <v>5549445.2047000378</v>
      </c>
      <c r="F11" s="208">
        <v>17588598.105850983</v>
      </c>
      <c r="G11" s="208">
        <v>12798377</v>
      </c>
      <c r="H11" s="208">
        <v>2772708.9999999795</v>
      </c>
      <c r="I11" s="208">
        <v>29382497.199999981</v>
      </c>
      <c r="J11" s="209">
        <f>I12</f>
        <v>8566957.1999999844</v>
      </c>
    </row>
    <row r="12" spans="1:10" ht="22.5" x14ac:dyDescent="0.25">
      <c r="B12" s="195" t="s">
        <v>256</v>
      </c>
      <c r="C12" s="196" t="s">
        <v>257</v>
      </c>
      <c r="D12" s="208">
        <f>D10+D11</f>
        <v>5549445.2047000378</v>
      </c>
      <c r="E12" s="208">
        <f t="shared" ref="E12:J12" si="3">E10+E11</f>
        <v>17588598.10585098</v>
      </c>
      <c r="F12" s="208">
        <f t="shared" si="3"/>
        <v>12798376.985850982</v>
      </c>
      <c r="G12" s="208">
        <f t="shared" si="3"/>
        <v>2772708.9999999795</v>
      </c>
      <c r="H12" s="208">
        <f t="shared" si="3"/>
        <v>29382497.199999981</v>
      </c>
      <c r="I12" s="208">
        <f t="shared" si="3"/>
        <v>8566957.1999999844</v>
      </c>
      <c r="J12" s="209">
        <f t="shared" si="3"/>
        <v>17596555.199999984</v>
      </c>
    </row>
    <row r="13" spans="1:10" x14ac:dyDescent="0.25">
      <c r="D13" s="210">
        <f>D12-'1.FinancialPosition'!B14</f>
        <v>8.4700038656592369E-2</v>
      </c>
      <c r="E13" s="210">
        <f>E12-'1.FinancialPosition'!C14</f>
        <v>-2.414901927113533E-2</v>
      </c>
      <c r="F13" s="210">
        <f>F12-'1.FinancialPosition'!D14</f>
        <v>-1.4149017632007599E-2</v>
      </c>
      <c r="G13" s="210">
        <f>G12-'1.FinancialPosition'!E14</f>
        <v>-2.0489096641540527E-8</v>
      </c>
      <c r="H13" s="210">
        <f>H12-'1.FinancialPosition'!F14</f>
        <v>0.19999998062849045</v>
      </c>
      <c r="I13" s="210">
        <f>I12-'1.FinancialPosition'!G14</f>
        <v>0.19999998435378075</v>
      </c>
      <c r="J13" s="210">
        <f>J12-'1.FinancialPosition'!H14</f>
        <v>0.19999998435378075</v>
      </c>
    </row>
    <row r="45" s="7" customForma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39"/>
  <sheetViews>
    <sheetView showGridLines="0"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M38" sqref="M38"/>
    </sheetView>
  </sheetViews>
  <sheetFormatPr defaultColWidth="9.140625" defaultRowHeight="15" x14ac:dyDescent="0.25"/>
  <cols>
    <col min="1" max="1" width="37.5703125" style="1" hidden="1" customWidth="1"/>
    <col min="2" max="2" width="43.140625" style="1" hidden="1" customWidth="1"/>
    <col min="3" max="3" width="33.5703125" style="1" customWidth="1"/>
    <col min="4" max="4" width="41.42578125" style="1" customWidth="1"/>
    <col min="5" max="5" width="13.42578125" style="1" bestFit="1" customWidth="1"/>
    <col min="6" max="6" width="13" style="1" bestFit="1" customWidth="1"/>
    <col min="7" max="9" width="13.85546875" style="1" bestFit="1" customWidth="1"/>
    <col min="10" max="10" width="13.42578125" style="1" bestFit="1" customWidth="1"/>
    <col min="11" max="11" width="13.5703125" style="1" bestFit="1" customWidth="1"/>
    <col min="12" max="12" width="9.140625" style="1"/>
    <col min="13" max="13" width="14.42578125" style="1" bestFit="1" customWidth="1"/>
    <col min="14" max="14" width="24.5703125" style="1" bestFit="1" customWidth="1"/>
    <col min="15" max="15" width="13.42578125" style="1" bestFit="1" customWidth="1"/>
    <col min="16" max="16" width="3.140625" style="1" bestFit="1" customWidth="1"/>
    <col min="17" max="17" width="4.42578125" style="1" bestFit="1" customWidth="1"/>
    <col min="18" max="19" width="3.140625" style="1" bestFit="1" customWidth="1"/>
    <col min="20" max="16384" width="9.140625" style="1"/>
  </cols>
  <sheetData>
    <row r="2" spans="1:26" ht="15.75" thickBot="1" x14ac:dyDescent="0.3">
      <c r="K2" s="53" t="s">
        <v>259</v>
      </c>
    </row>
    <row r="3" spans="1:26" ht="36" customHeight="1" thickBot="1" x14ac:dyDescent="0.3">
      <c r="A3" s="30" t="s">
        <v>0</v>
      </c>
      <c r="B3" s="30" t="s">
        <v>72</v>
      </c>
      <c r="C3" s="183" t="s">
        <v>0</v>
      </c>
      <c r="D3" s="183" t="s">
        <v>72</v>
      </c>
      <c r="E3" s="184">
        <v>2019</v>
      </c>
      <c r="F3" s="184">
        <f>E3+1</f>
        <v>2020</v>
      </c>
      <c r="G3" s="184">
        <f t="shared" ref="G3:K3" si="0">F3+1</f>
        <v>2021</v>
      </c>
      <c r="H3" s="184">
        <f t="shared" si="0"/>
        <v>2022</v>
      </c>
      <c r="I3" s="184">
        <f t="shared" si="0"/>
        <v>2023</v>
      </c>
      <c r="J3" s="184">
        <f t="shared" si="0"/>
        <v>2024</v>
      </c>
      <c r="K3" s="184">
        <f t="shared" si="0"/>
        <v>2025</v>
      </c>
    </row>
    <row r="4" spans="1:26" x14ac:dyDescent="0.25">
      <c r="A4" s="10" t="s">
        <v>95</v>
      </c>
      <c r="B4" s="10" t="s">
        <v>106</v>
      </c>
      <c r="C4" s="186" t="s">
        <v>95</v>
      </c>
      <c r="D4" s="187" t="s">
        <v>120</v>
      </c>
      <c r="E4" s="10">
        <f>'EBIT-EBITDA'!C6</f>
        <v>2060147.2999999819</v>
      </c>
      <c r="F4" s="10">
        <f>'EBIT-EBITDA'!D6</f>
        <v>2267260.4399999618</v>
      </c>
      <c r="G4" s="10">
        <f>'EBIT-EBITDA'!E6</f>
        <v>394684</v>
      </c>
      <c r="H4" s="10">
        <f>'EBIT-EBITDA'!F6</f>
        <v>53670160</v>
      </c>
      <c r="I4" s="10">
        <f>'EBIT-EBITDA'!G6</f>
        <v>5303794</v>
      </c>
      <c r="J4" s="10">
        <f>'EBIT-EBITDA'!H6</f>
        <v>-5392331</v>
      </c>
      <c r="K4" s="185">
        <f>'EBIT-EBITDA'!I6</f>
        <v>4062103</v>
      </c>
      <c r="M4" s="83"/>
      <c r="N4" s="83"/>
      <c r="O4" s="83"/>
      <c r="P4" s="83"/>
      <c r="Q4" s="83"/>
      <c r="R4" s="83"/>
      <c r="S4" s="83"/>
      <c r="X4" s="146"/>
      <c r="Y4" s="146"/>
      <c r="Z4" s="146"/>
    </row>
    <row r="5" spans="1:26" x14ac:dyDescent="0.25">
      <c r="A5" s="10" t="s">
        <v>71</v>
      </c>
      <c r="B5" s="10" t="s">
        <v>106</v>
      </c>
      <c r="C5" s="186" t="s">
        <v>71</v>
      </c>
      <c r="D5" s="187" t="s">
        <v>120</v>
      </c>
      <c r="E5" s="10">
        <f>'EBIT-EBITDA'!C9</f>
        <v>10419423.999999983</v>
      </c>
      <c r="F5" s="10">
        <f>'EBIT-EBITDA'!D9</f>
        <v>10207662.439999962</v>
      </c>
      <c r="G5" s="10">
        <f>'EBIT-EBITDA'!E9</f>
        <v>8112816</v>
      </c>
      <c r="H5" s="10">
        <f>'EBIT-EBITDA'!F9</f>
        <v>61072654</v>
      </c>
      <c r="I5" s="10">
        <f>'EBIT-EBITDA'!G9</f>
        <v>12582621</v>
      </c>
      <c r="J5" s="10">
        <f>'EBIT-EBITDA'!H9</f>
        <v>2598383</v>
      </c>
      <c r="K5" s="185">
        <f>'EBIT-EBITDA'!I9</f>
        <v>11628192</v>
      </c>
      <c r="M5" s="83"/>
      <c r="N5" s="83"/>
      <c r="O5" s="83"/>
      <c r="P5" s="83"/>
      <c r="Q5" s="83"/>
      <c r="R5" s="83"/>
      <c r="S5" s="83"/>
      <c r="X5" s="146"/>
      <c r="Y5" s="146"/>
      <c r="Z5" s="146"/>
    </row>
    <row r="6" spans="1:26" x14ac:dyDescent="0.25">
      <c r="A6" s="10" t="s">
        <v>76</v>
      </c>
      <c r="B6" s="10" t="s">
        <v>134</v>
      </c>
      <c r="C6" s="186" t="s">
        <v>107</v>
      </c>
      <c r="D6" s="187" t="s">
        <v>142</v>
      </c>
      <c r="E6" s="10">
        <f>'2.Comprehensive income'!C4+'2.Comprehensive income'!C46</f>
        <v>185722303.66999996</v>
      </c>
      <c r="F6" s="10">
        <f>'2.Comprehensive income'!D4+'2.Comprehensive income'!D46</f>
        <v>182851591.98999998</v>
      </c>
      <c r="G6" s="10">
        <f>'2.Comprehensive income'!E4+'2.Comprehensive income'!E46</f>
        <v>266937602</v>
      </c>
      <c r="H6" s="10">
        <f>'2.Comprehensive income'!F4+'2.Comprehensive income'!F46</f>
        <v>265048639</v>
      </c>
      <c r="I6" s="10">
        <f>'2.Comprehensive income'!G4+'2.Comprehensive income'!G46</f>
        <v>216420862</v>
      </c>
      <c r="J6" s="10">
        <f>'2.Comprehensive income'!H4+'2.Comprehensive income'!H46</f>
        <v>227789211</v>
      </c>
      <c r="K6" s="185">
        <f>'2.Comprehensive income'!I4+'2.Comprehensive income'!I46</f>
        <v>196460720</v>
      </c>
      <c r="M6" s="83"/>
      <c r="N6" s="83"/>
      <c r="O6" s="83"/>
      <c r="P6" s="83"/>
      <c r="Q6" s="83"/>
      <c r="R6" s="83"/>
      <c r="S6" s="83"/>
      <c r="X6" s="146"/>
      <c r="Y6" s="146"/>
      <c r="Z6" s="146"/>
    </row>
    <row r="7" spans="1:26" x14ac:dyDescent="0.25">
      <c r="A7" s="1" t="s">
        <v>73</v>
      </c>
      <c r="B7" s="10" t="s">
        <v>87</v>
      </c>
      <c r="C7" s="186" t="s">
        <v>108</v>
      </c>
      <c r="D7" s="187" t="s">
        <v>121</v>
      </c>
      <c r="E7" s="35">
        <f>E5/E6</f>
        <v>5.6102168636211307E-2</v>
      </c>
      <c r="F7" s="35">
        <f t="shared" ref="F7:I7" si="1">F5/F6</f>
        <v>5.5824848604863184E-2</v>
      </c>
      <c r="G7" s="35">
        <f t="shared" si="1"/>
        <v>3.0392181315841746E-2</v>
      </c>
      <c r="H7" s="35">
        <f t="shared" si="1"/>
        <v>0.2304205531121403</v>
      </c>
      <c r="I7" s="35">
        <f t="shared" si="1"/>
        <v>5.8139593769846461E-2</v>
      </c>
      <c r="J7" s="35">
        <f t="shared" ref="J7:K7" si="2">J5/J6</f>
        <v>1.1406962553639119E-2</v>
      </c>
      <c r="K7" s="188">
        <f t="shared" si="2"/>
        <v>5.9188381270311952E-2</v>
      </c>
      <c r="M7" s="83"/>
      <c r="N7" s="83"/>
      <c r="O7" s="83"/>
      <c r="P7" s="83"/>
      <c r="Q7" s="83"/>
      <c r="R7" s="83"/>
      <c r="S7" s="83"/>
      <c r="X7" s="147"/>
      <c r="Y7" s="147"/>
      <c r="Z7" s="147"/>
    </row>
    <row r="8" spans="1:26" x14ac:dyDescent="0.25">
      <c r="A8" s="1" t="s">
        <v>74</v>
      </c>
      <c r="B8" s="1" t="s">
        <v>88</v>
      </c>
      <c r="C8" s="186" t="s">
        <v>109</v>
      </c>
      <c r="D8" s="186" t="s">
        <v>122</v>
      </c>
      <c r="E8" s="35">
        <f>E5/'1.FinancialPosition'!B22</f>
        <v>7.6024084354601409E-2</v>
      </c>
      <c r="F8" s="35">
        <f>F5/'1.FinancialPosition'!C22</f>
        <v>7.3854820080472908E-2</v>
      </c>
      <c r="G8" s="35">
        <f>G5/'1.FinancialPosition'!D22</f>
        <v>6.0478014066000771E-2</v>
      </c>
      <c r="H8" s="35">
        <f>H5/'1.FinancialPosition'!E22</f>
        <v>0.38117293016880222</v>
      </c>
      <c r="I8" s="35">
        <f>I5/'1.FinancialPosition'!F22</f>
        <v>8.3430200727452636E-2</v>
      </c>
      <c r="J8" s="35">
        <f>J5/'1.FinancialPosition'!G22</f>
        <v>1.8251094175496474E-2</v>
      </c>
      <c r="K8" s="188">
        <f>K5/'1.FinancialPosition'!H22</f>
        <v>8.1536395189920147E-2</v>
      </c>
      <c r="M8" s="83"/>
      <c r="N8" s="83"/>
      <c r="O8" s="83"/>
      <c r="P8" s="83"/>
      <c r="Q8" s="83"/>
      <c r="R8" s="83"/>
      <c r="S8" s="83"/>
      <c r="X8" s="147"/>
      <c r="Y8" s="147"/>
      <c r="Z8" s="147"/>
    </row>
    <row r="9" spans="1:26" x14ac:dyDescent="0.25">
      <c r="A9" s="1" t="s">
        <v>75</v>
      </c>
      <c r="B9" s="1" t="s">
        <v>89</v>
      </c>
      <c r="C9" s="186" t="s">
        <v>110</v>
      </c>
      <c r="D9" s="186" t="s">
        <v>123</v>
      </c>
      <c r="E9" s="35">
        <f>'2.Comprehensive income'!C17/E6</f>
        <v>3.1635401262518808E-3</v>
      </c>
      <c r="F9" s="35">
        <f>'2.Comprehensive income'!D17/F6</f>
        <v>6.0562909403628533E-3</v>
      </c>
      <c r="G9" s="35">
        <f>'2.Comprehensive income'!E17/G6</f>
        <v>-2.0917660000556986E-3</v>
      </c>
      <c r="H9" s="35">
        <f>'2.Comprehensive income'!F17/H6</f>
        <v>0.19763829460750409</v>
      </c>
      <c r="I9" s="35">
        <f>'2.Comprehensive income'!G17/I6</f>
        <v>1.6155244774877571E-2</v>
      </c>
      <c r="J9" s="35">
        <f>'2.Comprehensive income'!H17/J6</f>
        <v>-3.3569351096264168E-2</v>
      </c>
      <c r="K9" s="188">
        <f>'2.Comprehensive income'!I17/K6</f>
        <v>9.0440877952600394E-3</v>
      </c>
      <c r="M9" s="83"/>
      <c r="N9" s="83"/>
      <c r="O9" s="83"/>
      <c r="P9" s="83"/>
      <c r="Q9" s="83"/>
      <c r="R9" s="83"/>
      <c r="S9" s="83"/>
      <c r="X9" s="147"/>
      <c r="Y9" s="147"/>
      <c r="Z9" s="147"/>
    </row>
    <row r="10" spans="1:26" x14ac:dyDescent="0.25">
      <c r="A10" s="1" t="s">
        <v>77</v>
      </c>
      <c r="B10" s="1" t="s">
        <v>90</v>
      </c>
      <c r="C10" s="186" t="s">
        <v>111</v>
      </c>
      <c r="D10" s="186" t="s">
        <v>124</v>
      </c>
      <c r="E10" s="36">
        <f>'1.FinancialPosition'!B16/'1.FinancialPosition'!B31</f>
        <v>1.1039275542547775</v>
      </c>
      <c r="F10" s="36">
        <f>'1.FinancialPosition'!C16/'1.FinancialPosition'!C31</f>
        <v>1.1571444819918941</v>
      </c>
      <c r="G10" s="36">
        <f>'1.FinancialPosition'!D16/'1.FinancialPosition'!D31</f>
        <v>1.18947280717453</v>
      </c>
      <c r="H10" s="36">
        <f>'1.FinancialPosition'!E16/'1.FinancialPosition'!E31</f>
        <v>1.4742601822691708</v>
      </c>
      <c r="I10" s="36">
        <f>'1.FinancialPosition'!F16/'1.FinancialPosition'!F31</f>
        <v>1.7689554765528499</v>
      </c>
      <c r="J10" s="36">
        <f>'1.FinancialPosition'!G16/'1.FinancialPosition'!G31</f>
        <v>1.3579198742806255</v>
      </c>
      <c r="K10" s="189">
        <f>'1.FinancialPosition'!H16/'1.FinancialPosition'!H31</f>
        <v>1.374509778380238</v>
      </c>
      <c r="M10" s="83"/>
      <c r="N10" s="83"/>
      <c r="O10" s="83"/>
      <c r="P10" s="83"/>
      <c r="Q10" s="83"/>
      <c r="R10" s="83"/>
      <c r="S10" s="83"/>
      <c r="X10" s="147"/>
      <c r="Y10" s="147"/>
      <c r="Z10" s="147"/>
    </row>
    <row r="11" spans="1:26" x14ac:dyDescent="0.25">
      <c r="A11" s="1" t="s">
        <v>78</v>
      </c>
      <c r="B11" s="1" t="s">
        <v>91</v>
      </c>
      <c r="C11" s="186" t="s">
        <v>112</v>
      </c>
      <c r="D11" s="186" t="s">
        <v>125</v>
      </c>
      <c r="E11" s="36">
        <f>('1.FinancialPosition'!B16-'1.FinancialPosition'!B9)/'1.FinancialPosition'!B31</f>
        <v>0.76564967713731746</v>
      </c>
      <c r="F11" s="36">
        <f>('1.FinancialPosition'!C16-'1.FinancialPosition'!C9)/'1.FinancialPosition'!C31</f>
        <v>0.82836972848756563</v>
      </c>
      <c r="G11" s="36">
        <f>('1.FinancialPosition'!D16-'1.FinancialPosition'!D9)/'1.FinancialPosition'!D31</f>
        <v>0.87822470906859362</v>
      </c>
      <c r="H11" s="36">
        <f>('1.FinancialPosition'!E16-'1.FinancialPosition'!E9)/'1.FinancialPosition'!E31</f>
        <v>1.1732500415624376</v>
      </c>
      <c r="I11" s="36">
        <f>('1.FinancialPosition'!F16-'1.FinancialPosition'!F9)/'1.FinancialPosition'!F31</f>
        <v>1.3209014042603557</v>
      </c>
      <c r="J11" s="36">
        <f>('1.FinancialPosition'!G16-'1.FinancialPosition'!G9)/'1.FinancialPosition'!G31</f>
        <v>0.88729675289000653</v>
      </c>
      <c r="K11" s="189">
        <f>('1.FinancialPosition'!H16-'1.FinancialPosition'!H9)/'1.FinancialPosition'!H31</f>
        <v>0.97105913522758969</v>
      </c>
      <c r="M11" s="83"/>
      <c r="N11" s="83"/>
      <c r="O11" s="83"/>
      <c r="P11" s="83"/>
      <c r="Q11" s="83"/>
      <c r="R11" s="83"/>
      <c r="S11" s="83"/>
      <c r="X11" s="147"/>
      <c r="Y11" s="147"/>
      <c r="Z11" s="147"/>
    </row>
    <row r="12" spans="1:26" x14ac:dyDescent="0.25">
      <c r="A12" s="1" t="s">
        <v>79</v>
      </c>
      <c r="B12" s="1" t="s">
        <v>92</v>
      </c>
      <c r="C12" s="186" t="s">
        <v>118</v>
      </c>
      <c r="D12" s="186" t="s">
        <v>126</v>
      </c>
      <c r="E12" s="37">
        <f>'1.FinancialPosition'!B27/'1.FinancialPosition'!B22</f>
        <v>0.24963134328679032</v>
      </c>
      <c r="F12" s="37">
        <f>'1.FinancialPosition'!C27/'1.FinancialPosition'!C22</f>
        <v>0.18346612484681837</v>
      </c>
      <c r="G12" s="37">
        <f>'1.FinancialPosition'!D27/'1.FinancialPosition'!D22</f>
        <v>0.15692057604494056</v>
      </c>
      <c r="H12" s="37">
        <f>'1.FinancialPosition'!E27/'1.FinancialPosition'!E22</f>
        <v>0.12670226152423339</v>
      </c>
      <c r="I12" s="37">
        <f>'1.FinancialPosition'!F27/'1.FinancialPosition'!F22</f>
        <v>0.14082831398776929</v>
      </c>
      <c r="J12" s="37">
        <f>'1.FinancialPosition'!G27/'1.FinancialPosition'!G22</f>
        <v>9.251098635749179E-2</v>
      </c>
      <c r="K12" s="190">
        <f>'1.FinancialPosition'!H27/'1.FinancialPosition'!H22</f>
        <v>0.11556461450680452</v>
      </c>
      <c r="M12" s="83"/>
      <c r="N12" s="83"/>
      <c r="O12" s="83"/>
      <c r="P12" s="83"/>
      <c r="Q12" s="83"/>
      <c r="R12" s="83"/>
      <c r="S12" s="83"/>
      <c r="X12" s="147"/>
      <c r="Y12" s="147"/>
      <c r="Z12" s="147"/>
    </row>
    <row r="13" spans="1:26" x14ac:dyDescent="0.25">
      <c r="A13" s="1" t="s">
        <v>80</v>
      </c>
      <c r="B13" s="1" t="s">
        <v>93</v>
      </c>
      <c r="C13" s="186" t="s">
        <v>119</v>
      </c>
      <c r="D13" s="186" t="s">
        <v>127</v>
      </c>
      <c r="E13" s="37">
        <f>'1.FinancialPosition'!B32/'1.FinancialPosition'!B33</f>
        <v>0.4433099577458306</v>
      </c>
      <c r="F13" s="37">
        <f>'1.FinancialPosition'!C32/'1.FinancialPosition'!C33</f>
        <v>0.40259328061249716</v>
      </c>
      <c r="G13" s="37">
        <f>'1.FinancialPosition'!D32/'1.FinancialPosition'!D33</f>
        <v>0.4502774227677922</v>
      </c>
      <c r="H13" s="37">
        <f>'1.FinancialPosition'!E32/'1.FinancialPosition'!E33</f>
        <v>0.42791289788430387</v>
      </c>
      <c r="I13" s="37">
        <f>'1.FinancialPosition'!F32/'1.FinancialPosition'!F33</f>
        <v>0.37455529389265158</v>
      </c>
      <c r="J13" s="37">
        <f>'1.FinancialPosition'!G32/'1.FinancialPosition'!G33</f>
        <v>0.39924839533896106</v>
      </c>
      <c r="K13" s="190">
        <f>'1.FinancialPosition'!H32/'1.FinancialPosition'!H33</f>
        <v>0.40389308534113644</v>
      </c>
      <c r="M13" s="83"/>
      <c r="N13" s="83"/>
      <c r="O13" s="83"/>
      <c r="P13" s="83"/>
      <c r="Q13" s="83"/>
      <c r="R13" s="83"/>
      <c r="S13" s="83"/>
      <c r="X13" s="147"/>
      <c r="Y13" s="147"/>
      <c r="Z13" s="147"/>
    </row>
    <row r="14" spans="1:26" x14ac:dyDescent="0.25">
      <c r="A14" s="1" t="s">
        <v>81</v>
      </c>
      <c r="B14" s="1" t="s">
        <v>94</v>
      </c>
      <c r="C14" s="186" t="s">
        <v>155</v>
      </c>
      <c r="D14" s="186" t="s">
        <v>128</v>
      </c>
      <c r="E14" s="36">
        <f>'EBIT-EBITDA'!C6/'EBIT-EBITDA'!C5</f>
        <v>1.3989793776255264</v>
      </c>
      <c r="F14" s="36">
        <f>'EBIT-EBITDA'!D6/'EBIT-EBITDA'!D5</f>
        <v>1.9547741533877092</v>
      </c>
      <c r="G14" s="36">
        <f>'EBIT-EBITDA'!E6/'EBIT-EBITDA'!E5</f>
        <v>0.41412510295838123</v>
      </c>
      <c r="H14" s="36">
        <f>'EBIT-EBITDA'!F6/'EBIT-EBITDA'!F5</f>
        <v>41.721238900216804</v>
      </c>
      <c r="I14" s="36">
        <f>'EBIT-EBITDA'!G6/'EBIT-EBITDA'!G5</f>
        <v>2.9343875555889971</v>
      </c>
      <c r="J14" s="36">
        <f>'EBIT-EBITDA'!H6/'EBIT-EBITDA'!H5</f>
        <v>-2.3919087297978847</v>
      </c>
      <c r="K14" s="189">
        <f>'EBIT-EBITDA'!I6/'EBIT-EBITDA'!I5</f>
        <v>1.7774961219448693</v>
      </c>
      <c r="M14" s="83"/>
      <c r="N14" s="83"/>
      <c r="O14" s="83"/>
      <c r="P14" s="83"/>
      <c r="Q14" s="83"/>
      <c r="R14" s="83"/>
      <c r="S14" s="83"/>
      <c r="X14" s="147"/>
      <c r="Y14" s="147"/>
      <c r="Z14" s="147"/>
    </row>
    <row r="15" spans="1:26" x14ac:dyDescent="0.25">
      <c r="A15" s="1" t="s">
        <v>82</v>
      </c>
      <c r="B15" s="1" t="s">
        <v>96</v>
      </c>
      <c r="C15" s="186" t="s">
        <v>113</v>
      </c>
      <c r="D15" s="186" t="s">
        <v>129</v>
      </c>
      <c r="E15" s="39">
        <f>(29483703.06+'1.FinancialPosition'!B10)/2/E6*360</f>
        <v>73.027916669067466</v>
      </c>
      <c r="F15" s="39">
        <f>('1.FinancialPosition'!B10+'1.FinancialPosition'!C10)/2/F6*360</f>
        <v>81.415906263556948</v>
      </c>
      <c r="G15" s="38">
        <f>('1.FinancialPosition'!C10+'1.FinancialPosition'!D10)/2/G6*360</f>
        <v>63.951771651863417</v>
      </c>
      <c r="H15" s="38">
        <f>('1.FinancialPosition'!D10+'1.FinancialPosition'!E10)/2/H6*360</f>
        <v>82.617395367949797</v>
      </c>
      <c r="I15" s="38">
        <f>('1.FinancialPosition'!E10+'1.FinancialPosition'!F10)/2/I6*360</f>
        <v>99.00902566407855</v>
      </c>
      <c r="J15" s="38">
        <f>('1.FinancialPosition'!F10+'1.FinancialPosition'!G10)/2/J6*360</f>
        <v>88.920418623338577</v>
      </c>
      <c r="K15" s="191">
        <f>('1.FinancialPosition'!G10+'1.FinancialPosition'!H10)/2/K6*360</f>
        <v>102.6346086892077</v>
      </c>
      <c r="M15" s="83"/>
      <c r="N15" s="83"/>
      <c r="O15" s="83"/>
      <c r="P15" s="83"/>
      <c r="Q15" s="83"/>
      <c r="R15" s="83"/>
      <c r="S15" s="83"/>
      <c r="X15" s="147"/>
      <c r="Y15" s="147"/>
      <c r="Z15" s="147"/>
    </row>
    <row r="16" spans="1:26" x14ac:dyDescent="0.25">
      <c r="A16" s="1" t="s">
        <v>83</v>
      </c>
      <c r="B16" s="1" t="s">
        <v>97</v>
      </c>
      <c r="C16" s="186" t="s">
        <v>114</v>
      </c>
      <c r="D16" s="186" t="s">
        <v>130</v>
      </c>
      <c r="E16" s="39">
        <f>(28922894.79+'1.FinancialPosition'!B28)/2/E6*360</f>
        <v>50.94633033635148</v>
      </c>
      <c r="F16" s="39">
        <f>('1.FinancialPosition'!B28+'1.FinancialPosition'!C28)/2/F6*360</f>
        <v>48.996371504875739</v>
      </c>
      <c r="G16" s="38">
        <f>('1.FinancialPosition'!C28+'1.FinancialPosition'!D28)/2/G6*360</f>
        <v>42.67836181430895</v>
      </c>
      <c r="H16" s="38">
        <f>('1.FinancialPosition'!D28+'1.FinancialPosition'!E28)/2/H6*360</f>
        <v>57.876568836107097</v>
      </c>
      <c r="I16" s="38">
        <f>('1.FinancialPosition'!E28+'1.FinancialPosition'!F28)/2/I6*360</f>
        <v>60.576656976812153</v>
      </c>
      <c r="J16" s="38">
        <f>('1.FinancialPosition'!F28+'1.FinancialPosition'!G28)/2/J6*360</f>
        <v>46.583713308528914</v>
      </c>
      <c r="K16" s="191">
        <f>('1.FinancialPosition'!G28+'1.FinancialPosition'!H28)/2/K6*360</f>
        <v>56.075246899227487</v>
      </c>
      <c r="M16" s="83"/>
      <c r="N16" s="83"/>
      <c r="O16" s="83"/>
      <c r="P16" s="83"/>
      <c r="Q16" s="83"/>
      <c r="R16" s="83"/>
      <c r="S16" s="83"/>
      <c r="X16" s="147"/>
      <c r="Y16" s="147"/>
      <c r="Z16" s="147"/>
    </row>
    <row r="17" spans="1:26" x14ac:dyDescent="0.25">
      <c r="A17" s="1" t="s">
        <v>84</v>
      </c>
      <c r="B17" s="1" t="s">
        <v>98</v>
      </c>
      <c r="C17" s="186" t="s">
        <v>115</v>
      </c>
      <c r="D17" s="186" t="s">
        <v>131</v>
      </c>
      <c r="E17" s="35">
        <f>'2.Comprehensive income'!C19/'1.FinancialPosition'!B17</f>
        <v>1.5032722172766025E-3</v>
      </c>
      <c r="F17" s="35">
        <f>'2.Comprehensive income'!D19/'1.FinancialPosition'!C17</f>
        <v>3.7566014000971256E-3</v>
      </c>
      <c r="G17" s="35">
        <f>'2.Comprehensive income'!E19/'1.FinancialPosition'!D17</f>
        <v>-5.9316489474941425E-3</v>
      </c>
      <c r="H17" s="35">
        <f>'2.Comprehensive income'!F19/'1.FinancialPosition'!E17</f>
        <v>0.18378321388239174</v>
      </c>
      <c r="I17" s="35">
        <f>'2.Comprehensive income'!G19/'1.FinancialPosition'!F17</f>
        <v>1.3742589278678712E-2</v>
      </c>
      <c r="J17" s="35">
        <f>'2.Comprehensive income'!H19/'1.FinancialPosition'!G17</f>
        <v>-2.5288525506141316E-2</v>
      </c>
      <c r="K17" s="188">
        <f>'2.Comprehensive income'!I19/'1.FinancialPosition'!H17</f>
        <v>7.4268383848076934E-3</v>
      </c>
      <c r="M17" s="83"/>
      <c r="N17" s="83"/>
      <c r="O17" s="83"/>
      <c r="P17" s="83"/>
      <c r="Q17" s="83"/>
      <c r="R17" s="83"/>
      <c r="S17" s="83"/>
      <c r="X17" s="147"/>
      <c r="Y17" s="147"/>
      <c r="Z17" s="147"/>
    </row>
    <row r="18" spans="1:26" x14ac:dyDescent="0.25">
      <c r="A18" s="1" t="s">
        <v>85</v>
      </c>
      <c r="B18" s="1" t="s">
        <v>99</v>
      </c>
      <c r="C18" s="186" t="s">
        <v>116</v>
      </c>
      <c r="D18" s="186" t="s">
        <v>132</v>
      </c>
      <c r="E18" s="35">
        <f>'2.Comprehensive income'!C19/'1.FinancialPosition'!B22</f>
        <v>2.7003756187006654E-3</v>
      </c>
      <c r="F18" s="35">
        <f>'2.Comprehensive income'!D19/'1.FinancialPosition'!C22</f>
        <v>6.2881806955753577E-3</v>
      </c>
      <c r="G18" s="35">
        <f>'2.Comprehensive income'!E19/'1.FinancialPosition'!D22</f>
        <v>-1.0790258929075348E-2</v>
      </c>
      <c r="H18" s="35">
        <f>'2.Comprehensive income'!F19/'1.FinancialPosition'!E22</f>
        <v>0.32125040608256905</v>
      </c>
      <c r="I18" s="35">
        <f>'2.Comprehensive income'!G19/'1.FinancialPosition'!F22</f>
        <v>2.1972508751748866E-2</v>
      </c>
      <c r="J18" s="35">
        <f>'2.Comprehensive income'!H19/'1.FinancialPosition'!G22</f>
        <v>-4.2094811416125665E-2</v>
      </c>
      <c r="K18" s="188">
        <f>'2.Comprehensive income'!I19/'1.FinancialPosition'!H22</f>
        <v>1.2458903264119791E-2</v>
      </c>
      <c r="M18" s="83"/>
      <c r="N18" s="83"/>
      <c r="O18" s="83"/>
      <c r="P18" s="83"/>
      <c r="Q18" s="83"/>
      <c r="R18" s="83"/>
      <c r="S18" s="83"/>
      <c r="X18" s="147"/>
      <c r="Y18" s="147"/>
      <c r="Z18" s="147"/>
    </row>
    <row r="19" spans="1:26" x14ac:dyDescent="0.25">
      <c r="A19" s="1" t="s">
        <v>86</v>
      </c>
      <c r="B19" s="1" t="s">
        <v>100</v>
      </c>
      <c r="C19" s="186" t="s">
        <v>117</v>
      </c>
      <c r="D19" s="186" t="s">
        <v>133</v>
      </c>
      <c r="E19" s="35">
        <f>'2.Comprehensive income'!C19/E6</f>
        <v>1.9927491350612853E-3</v>
      </c>
      <c r="F19" s="35">
        <f>'2.Comprehensive income'!D19/F6</f>
        <v>4.753064660478824E-3</v>
      </c>
      <c r="G19" s="35">
        <f>'2.Comprehensive income'!E19/G6</f>
        <v>-5.4224582417579372E-3</v>
      </c>
      <c r="H19" s="35">
        <f>'2.Comprehensive income'!F19/H6</f>
        <v>0.19419714884859304</v>
      </c>
      <c r="I19" s="35">
        <f>'2.Comprehensive income'!G19/I6</f>
        <v>1.531187413900976E-2</v>
      </c>
      <c r="J19" s="35">
        <f>'2.Comprehensive income'!H19/J6</f>
        <v>-2.6309323315580561E-2</v>
      </c>
      <c r="K19" s="188">
        <f>'2.Comprehensive income'!I19/K6</f>
        <v>9.0440877952600394E-3</v>
      </c>
      <c r="M19" s="83"/>
      <c r="N19" s="83"/>
      <c r="O19" s="83"/>
      <c r="P19" s="83"/>
      <c r="Q19" s="83"/>
      <c r="R19" s="83"/>
      <c r="S19" s="83"/>
      <c r="X19" s="147"/>
      <c r="Y19" s="147"/>
      <c r="Z19" s="147"/>
    </row>
    <row r="20" spans="1:26" x14ac:dyDescent="0.25">
      <c r="X20" s="147"/>
      <c r="Y20" s="147"/>
      <c r="Z20" s="147"/>
    </row>
    <row r="21" spans="1:26" x14ac:dyDescent="0.25">
      <c r="A21" s="24" t="s">
        <v>65</v>
      </c>
      <c r="C21" s="24" t="s">
        <v>65</v>
      </c>
      <c r="M21" s="73"/>
      <c r="N21" s="73"/>
      <c r="O21" s="73"/>
      <c r="P21" s="73"/>
      <c r="Q21" s="73"/>
      <c r="R21" s="73"/>
      <c r="S21" s="73"/>
      <c r="X21" s="147"/>
      <c r="Y21" s="147"/>
      <c r="Z21" s="147"/>
    </row>
    <row r="22" spans="1:26" x14ac:dyDescent="0.25">
      <c r="M22" s="73"/>
      <c r="N22" s="73"/>
      <c r="O22" s="73"/>
      <c r="P22" s="73"/>
      <c r="Q22" s="73"/>
      <c r="R22" s="73"/>
      <c r="S22" s="73"/>
      <c r="X22" s="147"/>
      <c r="Y22" s="147"/>
      <c r="Z22" s="147"/>
    </row>
    <row r="23" spans="1:26" x14ac:dyDescent="0.25">
      <c r="M23" s="73"/>
      <c r="N23" s="73"/>
      <c r="O23" s="73"/>
      <c r="P23" s="73"/>
      <c r="Q23" s="73"/>
      <c r="R23" s="73"/>
      <c r="S23" s="73"/>
      <c r="T23" s="73"/>
    </row>
    <row r="24" spans="1:26" x14ac:dyDescent="0.25">
      <c r="M24" s="73"/>
      <c r="N24" s="73"/>
      <c r="O24" s="73"/>
      <c r="P24" s="73"/>
      <c r="Q24" s="73"/>
      <c r="R24" s="73"/>
      <c r="S24" s="73"/>
      <c r="T24" s="73"/>
    </row>
    <row r="25" spans="1:26" x14ac:dyDescent="0.25">
      <c r="M25" s="164"/>
      <c r="N25" s="164"/>
      <c r="O25" s="164"/>
    </row>
    <row r="26" spans="1:26" x14ac:dyDescent="0.25">
      <c r="M26" s="164"/>
      <c r="N26" s="164"/>
      <c r="O26" s="164"/>
    </row>
    <row r="27" spans="1:26" x14ac:dyDescent="0.25">
      <c r="M27" s="164"/>
      <c r="N27" s="164"/>
      <c r="O27" s="164"/>
    </row>
    <row r="28" spans="1:26" x14ac:dyDescent="0.25">
      <c r="M28" s="164"/>
      <c r="N28" s="164"/>
      <c r="O28" s="164"/>
    </row>
    <row r="29" spans="1:26" x14ac:dyDescent="0.25">
      <c r="M29" s="164"/>
      <c r="N29" s="164"/>
      <c r="O29" s="164"/>
    </row>
    <row r="30" spans="1:26" x14ac:dyDescent="0.25">
      <c r="M30" s="164"/>
      <c r="N30" s="164"/>
      <c r="O30" s="164"/>
    </row>
    <row r="31" spans="1:26" x14ac:dyDescent="0.25">
      <c r="M31" s="164"/>
      <c r="N31" s="164"/>
      <c r="O31" s="164"/>
    </row>
    <row r="32" spans="1:26" x14ac:dyDescent="0.25">
      <c r="M32" s="164"/>
      <c r="N32" s="164"/>
      <c r="O32" s="164"/>
    </row>
    <row r="33" spans="13:15" x14ac:dyDescent="0.25">
      <c r="M33" s="164"/>
      <c r="N33" s="164"/>
      <c r="O33" s="164"/>
    </row>
    <row r="34" spans="13:15" x14ac:dyDescent="0.25">
      <c r="M34" s="164"/>
      <c r="N34" s="164"/>
      <c r="O34" s="164"/>
    </row>
    <row r="35" spans="13:15" x14ac:dyDescent="0.25">
      <c r="M35" s="164"/>
      <c r="N35" s="164"/>
      <c r="O35" s="164"/>
    </row>
    <row r="36" spans="13:15" x14ac:dyDescent="0.25">
      <c r="M36" s="164"/>
      <c r="N36" s="164"/>
      <c r="O36" s="164"/>
    </row>
    <row r="37" spans="13:15" x14ac:dyDescent="0.25">
      <c r="M37" s="164"/>
      <c r="N37" s="164"/>
      <c r="O37" s="164"/>
    </row>
    <row r="38" spans="13:15" x14ac:dyDescent="0.25">
      <c r="M38" s="164"/>
      <c r="N38" s="164"/>
      <c r="O38" s="164"/>
    </row>
    <row r="39" spans="13:15" x14ac:dyDescent="0.25">
      <c r="M39" s="164"/>
      <c r="N39" s="164"/>
      <c r="O39" s="164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I90"/>
  <sheetViews>
    <sheetView showGridLines="0" workbookViewId="0">
      <selection activeCell="D33" sqref="D33"/>
    </sheetView>
  </sheetViews>
  <sheetFormatPr defaultColWidth="9.140625" defaultRowHeight="15" x14ac:dyDescent="0.25"/>
  <cols>
    <col min="1" max="1" width="22.5703125" style="42" customWidth="1"/>
    <col min="2" max="2" width="16.5703125" style="42" customWidth="1"/>
    <col min="3" max="4" width="17.5703125" style="42" customWidth="1"/>
    <col min="5" max="5" width="14.140625" style="42" bestFit="1" customWidth="1"/>
    <col min="6" max="6" width="14.5703125" style="42" bestFit="1" customWidth="1"/>
    <col min="7" max="7" width="13.42578125" style="42" bestFit="1" customWidth="1"/>
    <col min="8" max="8" width="12.85546875" style="42" bestFit="1" customWidth="1"/>
    <col min="9" max="9" width="15" style="42" bestFit="1" customWidth="1"/>
    <col min="10" max="10" width="6.42578125" style="42" customWidth="1"/>
    <col min="11" max="11" width="4.42578125" style="42" customWidth="1"/>
    <col min="12" max="12" width="24.5703125" style="52" bestFit="1" customWidth="1"/>
    <col min="13" max="13" width="3" style="42" customWidth="1"/>
    <col min="14" max="14" width="9.140625" style="52"/>
    <col min="15" max="15" width="2.85546875" style="42" customWidth="1"/>
    <col min="16" max="16" width="9.42578125" style="42" bestFit="1" customWidth="1"/>
    <col min="17" max="17" width="16.140625" style="42" bestFit="1" customWidth="1"/>
    <col min="18" max="18" width="24.5703125" style="42" bestFit="1" customWidth="1"/>
    <col min="19" max="19" width="3.42578125" style="42" customWidth="1"/>
    <col min="20" max="20" width="9.42578125" style="42" bestFit="1" customWidth="1"/>
    <col min="21" max="23" width="9.140625" style="42"/>
    <col min="24" max="24" width="9.140625" style="52"/>
    <col min="25" max="25" width="9.140625" style="42"/>
    <col min="26" max="26" width="3.5703125" style="42" customWidth="1"/>
    <col min="27" max="27" width="9.140625" style="42"/>
    <col min="28" max="28" width="20" style="42" bestFit="1" customWidth="1"/>
    <col min="29" max="29" width="33.42578125" style="42" customWidth="1"/>
    <col min="30" max="31" width="9.140625" style="42"/>
    <col min="32" max="32" width="32.85546875" style="42" customWidth="1"/>
    <col min="33" max="33" width="14.5703125" style="42" bestFit="1" customWidth="1"/>
    <col min="34" max="34" width="15.5703125" style="42" bestFit="1" customWidth="1"/>
    <col min="35" max="16384" width="9.140625" style="42"/>
  </cols>
  <sheetData>
    <row r="1" spans="1:35" x14ac:dyDescent="0.25">
      <c r="A1" s="44" t="str">
        <f>A4&amp;" vs. "&amp;A5</f>
        <v>Total non-current assets vs. Total current assets</v>
      </c>
      <c r="B1" s="44"/>
    </row>
    <row r="2" spans="1:35" x14ac:dyDescent="0.25">
      <c r="L2" s="52" t="s">
        <v>161</v>
      </c>
      <c r="N2" s="52" t="s">
        <v>162</v>
      </c>
      <c r="X2" s="52" t="s">
        <v>165</v>
      </c>
    </row>
    <row r="3" spans="1:35" x14ac:dyDescent="0.25">
      <c r="B3" s="46">
        <v>2019</v>
      </c>
      <c r="C3" s="46">
        <f>B3+1</f>
        <v>2020</v>
      </c>
      <c r="D3" s="46">
        <f t="shared" ref="D3:H3" si="0">C3+1</f>
        <v>2021</v>
      </c>
      <c r="E3" s="46">
        <f t="shared" si="0"/>
        <v>2022</v>
      </c>
      <c r="F3" s="46">
        <f t="shared" si="0"/>
        <v>2023</v>
      </c>
      <c r="G3" s="46">
        <f t="shared" si="0"/>
        <v>2024</v>
      </c>
      <c r="H3" s="46">
        <f t="shared" si="0"/>
        <v>2025</v>
      </c>
      <c r="L3" s="52" t="s">
        <v>3</v>
      </c>
      <c r="N3" s="52" t="s">
        <v>159</v>
      </c>
      <c r="P3" s="42">
        <v>1</v>
      </c>
      <c r="Q3" s="42" t="s">
        <v>160</v>
      </c>
      <c r="R3" s="42" t="s">
        <v>3</v>
      </c>
      <c r="S3" s="42">
        <f>IF(Q3=$A$8,P3,"")</f>
        <v>1</v>
      </c>
      <c r="T3" s="42">
        <f>SMALL($S$3:$S$10,ROWS(S3:$S$3))</f>
        <v>1</v>
      </c>
      <c r="U3" s="42" t="str">
        <f>VLOOKUP(T3,$P$3:$R$10,3,0)</f>
        <v>Total non-current assets</v>
      </c>
      <c r="X3" s="52" t="s">
        <v>166</v>
      </c>
      <c r="AA3" s="42">
        <v>1</v>
      </c>
      <c r="AB3" s="42" t="s">
        <v>166</v>
      </c>
      <c r="AC3" s="42" t="s">
        <v>1</v>
      </c>
      <c r="AD3" s="42" t="str">
        <f>IF(AB3=Charts!$F$20,hiddenPage!AA3,"")</f>
        <v/>
      </c>
      <c r="AE3" s="42">
        <f>SMALL($AD$3:$AD$35,ROWS($AD3:AD$3))</f>
        <v>15</v>
      </c>
      <c r="AF3" s="42" t="str">
        <f>IF(ISERROR(VLOOKUP(AE3,$AA$3:$AC$40,3,0)),"",VLOOKUP(AE3,$AA$3:$AC$40,3,0))</f>
        <v>Other non – current provisions</v>
      </c>
      <c r="AG3" s="47">
        <f>SUMIF('1.FinancialPosition'!A:A,hiddenPage!AF3,'1.FinancialPosition'!B:B)+SUMIF('1.FinancialPosition'!A:A,hiddenPage!AF3,'1.FinancialPosition'!C:C)+SUMIF('1.FinancialPosition'!A:A,hiddenPage!AF3,'1.FinancialPosition'!D:D)+SUMIF('1.FinancialPosition'!A:A,hiddenPage!AF3,'1.FinancialPosition'!E:E)+SUMIF('1.FinancialPosition'!A:A,hiddenPage!AF3,'1.FinancialPosition'!F:F)+SUMIF('1.FinancialPosition'!A:A,hiddenPage!AF3,'1.FinancialPosition'!G:G)+SUMIF('1.FinancialPosition'!A:A,hiddenPage!AF3,'1.FinancialPosition'!H:H)</f>
        <v>4819000</v>
      </c>
      <c r="AH3" s="64">
        <f>LARGE($AG$3:$AG$13,ROWS(AF3:$AF$3))</f>
        <v>56789492.18</v>
      </c>
      <c r="AI3" s="42" t="str">
        <f t="shared" ref="AI3:AI13" si="1">INDEX(AF:AF,MATCH(AH3,AG:AG,0))</f>
        <v>Other non-current non-financial liabilities</v>
      </c>
    </row>
    <row r="4" spans="1:35" x14ac:dyDescent="0.25">
      <c r="A4" s="45" t="str">
        <f>Charts!F2</f>
        <v>Total non-current assets</v>
      </c>
      <c r="B4" s="47">
        <f>SUMIF('1.FinancialPosition'!$A:$A,$A4,'1.FinancialPosition'!B:B)</f>
        <v>163480244.93000001</v>
      </c>
      <c r="C4" s="47">
        <f>SUMIF('1.FinancialPosition'!$A:$A,$A4,'1.FinancialPosition'!C:C)</f>
        <v>152917930.06</v>
      </c>
      <c r="D4" s="47">
        <f>SUMIF('1.FinancialPosition'!$A:$A,$A4,'1.FinancialPosition'!D:D)</f>
        <v>138364502</v>
      </c>
      <c r="E4" s="47">
        <f>SUMIF('1.FinancialPosition'!$A:$A,$A4,'1.FinancialPosition'!E:E)</f>
        <v>133313884</v>
      </c>
      <c r="F4" s="47">
        <f>SUMIF('1.FinancialPosition'!$A:$A,$A4,'1.FinancialPosition'!F:F)</f>
        <v>118936705</v>
      </c>
      <c r="G4" s="47">
        <f>SUMIF('1.FinancialPosition'!$A:$A,$A4,'1.FinancialPosition'!G:G)</f>
        <v>126388533</v>
      </c>
      <c r="H4" s="47">
        <f>SUMIF('1.FinancialPosition'!$A:$A,$A4,'1.FinancialPosition'!H:H)</f>
        <v>129078789</v>
      </c>
      <c r="L4" s="52" t="s">
        <v>5</v>
      </c>
      <c r="N4" s="52" t="s">
        <v>160</v>
      </c>
      <c r="P4" s="42">
        <v>2</v>
      </c>
      <c r="Q4" s="42" t="s">
        <v>160</v>
      </c>
      <c r="R4" s="42" t="s">
        <v>5</v>
      </c>
      <c r="S4" s="42">
        <f t="shared" ref="S4:S10" si="2">IF(Q4=$A$8,P4,"")</f>
        <v>2</v>
      </c>
      <c r="T4" s="42">
        <f>SMALL($S$3:$S$10,ROWS(S$3:$S4))</f>
        <v>2</v>
      </c>
      <c r="U4" s="42" t="str">
        <f t="shared" ref="U4:U10" si="3">VLOOKUP(T4,$P$3:$R$10,3,0)</f>
        <v>Total current assets</v>
      </c>
      <c r="X4" s="52" t="s">
        <v>145</v>
      </c>
      <c r="AA4" s="42">
        <f>AA3+1</f>
        <v>2</v>
      </c>
      <c r="AB4" s="42" t="s">
        <v>166</v>
      </c>
      <c r="AC4" s="42" t="s">
        <v>2</v>
      </c>
      <c r="AD4" s="42" t="str">
        <f>IF(AB4=Charts!$F$20,hiddenPage!AA4,"")</f>
        <v/>
      </c>
      <c r="AE4" s="42">
        <f>SMALL($AD$3:$AD$35,ROWS($AD$3:AD4))</f>
        <v>16</v>
      </c>
      <c r="AF4" s="42" t="str">
        <f t="shared" ref="AF4:AF13" si="4">IF(ISERROR(VLOOKUP(AE4,$AA$3:$AC$40,3,0)),"",VLOOKUP(AE4,$AA$3:$AC$40,3,0))</f>
        <v>Deferred tax liabilities</v>
      </c>
      <c r="AG4" s="47">
        <f>SUMIF('1.FinancialPosition'!A:A,hiddenPage!AF4,'1.FinancialPosition'!B:B)+SUMIF('1.FinancialPosition'!A:A,hiddenPage!AF4,'1.FinancialPosition'!C:C)+SUMIF('1.FinancialPosition'!A:A,hiddenPage!AF4,'1.FinancialPosition'!D:D)+SUMIF('1.FinancialPosition'!A:A,hiddenPage!AF4,'1.FinancialPosition'!E:E)+SUMIF('1.FinancialPosition'!A:A,hiddenPage!AF4,'1.FinancialPosition'!F:F)+SUMIF('1.FinancialPosition'!A:A,hiddenPage!AF4,'1.FinancialPosition'!G:G)+SUMIF('1.FinancialPosition'!A:A,hiddenPage!AF4,'1.FinancialPosition'!H:H)</f>
        <v>50771567</v>
      </c>
      <c r="AH4" s="64">
        <f>LARGE($AG$3:$AG$13,ROWS(AF$3:$AF4))</f>
        <v>50771567</v>
      </c>
      <c r="AI4" s="42" t="str">
        <f t="shared" si="1"/>
        <v>Deferred tax liabilities</v>
      </c>
    </row>
    <row r="5" spans="1:35" x14ac:dyDescent="0.25">
      <c r="A5" s="45" t="str">
        <f>Charts!F3</f>
        <v>Total current assets</v>
      </c>
      <c r="B5" s="47">
        <f>SUMIF('1.FinancialPosition'!$A:$A,$A5,'1.FinancialPosition'!B:B)</f>
        <v>82714659.589999989</v>
      </c>
      <c r="C5" s="47">
        <f>SUMIF('1.FinancialPosition'!$A:$A,$A5,'1.FinancialPosition'!C:C)</f>
        <v>78436250.86999999</v>
      </c>
      <c r="D5" s="47">
        <f>SUMIF('1.FinancialPosition'!$A:$A,$A5,'1.FinancialPosition'!D:D)</f>
        <v>105658368</v>
      </c>
      <c r="E5" s="47">
        <f>SUMIF('1.FinancialPosition'!$A:$A,$A5,'1.FinancialPosition'!E:E)</f>
        <v>146753533</v>
      </c>
      <c r="F5" s="47">
        <f>SUMIF('1.FinancialPosition'!$A:$A,$A5,'1.FinancialPosition'!F:F)</f>
        <v>122197548</v>
      </c>
      <c r="G5" s="47">
        <f>SUMIF('1.FinancialPosition'!$A:$A,$A5,'1.FinancialPosition'!G:G)</f>
        <v>110595628</v>
      </c>
      <c r="H5" s="47">
        <f>SUMIF('1.FinancialPosition'!$A:$A,$A5,'1.FinancialPosition'!H:H)</f>
        <v>110162717</v>
      </c>
      <c r="L5" s="52" t="s">
        <v>6</v>
      </c>
      <c r="N5" s="52" t="s">
        <v>163</v>
      </c>
      <c r="P5" s="42">
        <v>3</v>
      </c>
      <c r="Q5" s="42" t="s">
        <v>159</v>
      </c>
      <c r="R5" s="42" t="s">
        <v>12</v>
      </c>
      <c r="S5" s="42" t="str">
        <f t="shared" si="2"/>
        <v/>
      </c>
      <c r="T5" s="42" t="e">
        <f>SMALL($S$3:$S$10,ROWS(S$3:$S5))</f>
        <v>#NUM!</v>
      </c>
      <c r="U5" s="42" t="e">
        <f t="shared" si="3"/>
        <v>#NUM!</v>
      </c>
      <c r="X5" s="52" t="s">
        <v>167</v>
      </c>
      <c r="AA5" s="42">
        <f t="shared" ref="AA5:AA36" si="5">AA4+1</f>
        <v>3</v>
      </c>
      <c r="AB5" s="42" t="s">
        <v>166</v>
      </c>
      <c r="AC5" s="42" t="s">
        <v>210</v>
      </c>
      <c r="AD5" s="42" t="str">
        <f>IF(AB5=Charts!$F$20,hiddenPage!AA5,"")</f>
        <v/>
      </c>
      <c r="AE5" s="42">
        <f>SMALL($AD$3:$AD$35,ROWS($AD$3:AD5))</f>
        <v>17</v>
      </c>
      <c r="AF5" s="42" t="str">
        <f t="shared" si="4"/>
        <v>Other non-current financial liabilities</v>
      </c>
      <c r="AG5" s="47">
        <f>SUMIF('1.FinancialPosition'!A:A,hiddenPage!AF5,'1.FinancialPosition'!B:B)+SUMIF('1.FinancialPosition'!A:A,hiddenPage!AF5,'1.FinancialPosition'!C:C)+SUMIF('1.FinancialPosition'!A:A,hiddenPage!AF5,'1.FinancialPosition'!D:D)+SUMIF('1.FinancialPosition'!A:A,hiddenPage!AF5,'1.FinancialPosition'!E:E)+SUMIF('1.FinancialPosition'!A:A,hiddenPage!AF5,'1.FinancialPosition'!F:F)+SUMIF('1.FinancialPosition'!A:A,hiddenPage!AF5,'1.FinancialPosition'!G:G)+SUMIF('1.FinancialPosition'!A:A,hiddenPage!AF5,'1.FinancialPosition'!H:H)</f>
        <v>39431920.329999998</v>
      </c>
      <c r="AH5" s="64">
        <f>LARGE($AG$3:$AG$13,ROWS(AF$3:$AF5))</f>
        <v>39431920.329999998</v>
      </c>
      <c r="AI5" s="42" t="str">
        <f t="shared" si="1"/>
        <v>Other non-current financial liabilities</v>
      </c>
    </row>
    <row r="6" spans="1:35" x14ac:dyDescent="0.25">
      <c r="L6" s="52" t="s">
        <v>10</v>
      </c>
      <c r="N6" s="52" t="s">
        <v>171</v>
      </c>
      <c r="P6" s="42">
        <v>4</v>
      </c>
      <c r="Q6" s="42" t="s">
        <v>159</v>
      </c>
      <c r="R6" s="42" t="s">
        <v>14</v>
      </c>
      <c r="S6" s="42" t="str">
        <f t="shared" si="2"/>
        <v/>
      </c>
      <c r="T6" s="42" t="e">
        <f>SMALL($S$3:$S$10,ROWS(S$3:$S6))</f>
        <v>#NUM!</v>
      </c>
      <c r="U6" s="42" t="e">
        <f t="shared" si="3"/>
        <v>#NUM!</v>
      </c>
      <c r="X6" s="52" t="s">
        <v>168</v>
      </c>
      <c r="AA6" s="42">
        <f t="shared" si="5"/>
        <v>4</v>
      </c>
      <c r="AB6" s="42" t="s">
        <v>166</v>
      </c>
      <c r="AC6" s="42" t="s">
        <v>211</v>
      </c>
      <c r="AD6" s="42" t="str">
        <f>IF(AB6=Charts!$F$20,hiddenPage!AA6,"")</f>
        <v/>
      </c>
      <c r="AE6" s="42">
        <f>SMALL($AD$3:$AD$35,ROWS($AD$3:AD6))</f>
        <v>18</v>
      </c>
      <c r="AF6" s="42" t="str">
        <f t="shared" si="4"/>
        <v>Other non-current non-financial liabilities</v>
      </c>
      <c r="AG6" s="47">
        <f>SUMIF('1.FinancialPosition'!A:A,hiddenPage!AF6,'1.FinancialPosition'!B:B)+SUMIF('1.FinancialPosition'!A:A,hiddenPage!AF6,'1.FinancialPosition'!C:C)+SUMIF('1.FinancialPosition'!A:A,hiddenPage!AF6,'1.FinancialPosition'!D:D)+SUMIF('1.FinancialPosition'!A:A,hiddenPage!AF6,'1.FinancialPosition'!E:E)+SUMIF('1.FinancialPosition'!A:A,hiddenPage!AF6,'1.FinancialPosition'!F:F)+SUMIF('1.FinancialPosition'!A:A,hiddenPage!AF6,'1.FinancialPosition'!G:G)+SUMIF('1.FinancialPosition'!A:A,hiddenPage!AF6,'1.FinancialPosition'!H:H)</f>
        <v>56789492.18</v>
      </c>
      <c r="AH6" s="64">
        <f>LARGE($AG$3:$AG$13,ROWS(AF$3:$AF6))</f>
        <v>4819000</v>
      </c>
      <c r="AI6" s="42" t="str">
        <f t="shared" si="1"/>
        <v>Other non – current provisions</v>
      </c>
    </row>
    <row r="7" spans="1:35" x14ac:dyDescent="0.25">
      <c r="A7" s="44" t="str">
        <f>A10&amp;" vs. "&amp;A11</f>
        <v>Total non-current assets vs. Total current assets</v>
      </c>
      <c r="B7" s="44"/>
      <c r="C7" s="44"/>
      <c r="D7" s="43" t="str">
        <f>I9&amp;" structure of "&amp;A8</f>
        <v>2025 structure of Assets</v>
      </c>
      <c r="E7" s="43"/>
      <c r="L7" s="52" t="s">
        <v>12</v>
      </c>
      <c r="P7" s="42">
        <v>5</v>
      </c>
      <c r="Q7" s="42" t="s">
        <v>163</v>
      </c>
      <c r="R7" s="42" t="s">
        <v>220</v>
      </c>
      <c r="S7" s="42" t="str">
        <f t="shared" si="2"/>
        <v/>
      </c>
      <c r="T7" s="42" t="e">
        <f>SMALL($S$3:$S$10,ROWS(S$3:$S7))</f>
        <v>#NUM!</v>
      </c>
      <c r="U7" s="42" t="e">
        <f t="shared" si="3"/>
        <v>#NUM!</v>
      </c>
      <c r="X7" s="52" t="s">
        <v>169</v>
      </c>
      <c r="AA7" s="42">
        <f t="shared" si="5"/>
        <v>5</v>
      </c>
      <c r="AB7" s="42" t="s">
        <v>145</v>
      </c>
      <c r="AC7" s="42" t="s">
        <v>212</v>
      </c>
      <c r="AD7" s="42" t="str">
        <f>IF(AB7=Charts!$F$20,hiddenPage!AA7,"")</f>
        <v/>
      </c>
      <c r="AE7" s="42" t="e">
        <f>SMALL($AD$3:$AD$35,ROWS($AD$3:AD7))</f>
        <v>#NUM!</v>
      </c>
      <c r="AF7" s="42" t="str">
        <f t="shared" si="4"/>
        <v/>
      </c>
      <c r="AG7" s="47">
        <f>SUMIF('1.FinancialPosition'!A:A,hiddenPage!AF7,'1.FinancialPosition'!B:B)+SUMIF('1.FinancialPosition'!A:A,hiddenPage!AF7,'1.FinancialPosition'!C:C)+SUMIF('1.FinancialPosition'!A:A,hiddenPage!AF7,'1.FinancialPosition'!D:D)+SUMIF('1.FinancialPosition'!A:A,hiddenPage!AF7,'1.FinancialPosition'!E:E)+SUMIF('1.FinancialPosition'!A:A,hiddenPage!AF7,'1.FinancialPosition'!F:F)+SUMIF('1.FinancialPosition'!A:A,hiddenPage!AF7,'1.FinancialPosition'!G:G)+SUMIF('1.FinancialPosition'!A:A,hiddenPage!AF7,'1.FinancialPosition'!H:H)</f>
        <v>9.9999904632568359E-3</v>
      </c>
      <c r="AH7" s="64">
        <f>LARGE($AG$3:$AG$13,ROWS(AF$3:$AF7))</f>
        <v>9.9999904632568359E-3</v>
      </c>
      <c r="AI7" s="42" t="str">
        <f t="shared" si="1"/>
        <v/>
      </c>
    </row>
    <row r="8" spans="1:35" x14ac:dyDescent="0.25">
      <c r="A8" s="42" t="str">
        <f>Charts!N2</f>
        <v>Assets</v>
      </c>
      <c r="B8" s="42">
        <f>IF(B9=Charts!$T$2,1,0)</f>
        <v>0</v>
      </c>
      <c r="C8" s="42">
        <f>IF(C9=Charts!$T$2,1,0)</f>
        <v>0</v>
      </c>
      <c r="D8" s="42">
        <f>IF(D9=Charts!$T$2,1,0)</f>
        <v>0</v>
      </c>
      <c r="E8" s="42">
        <f>IF(E9=Charts!$T$2,1,0)</f>
        <v>0</v>
      </c>
      <c r="F8" s="42">
        <f>IF(F9=Charts!$T$2,1,0)</f>
        <v>0</v>
      </c>
      <c r="G8" s="42">
        <f>IF(G9=Charts!$T$2,1,0)</f>
        <v>0</v>
      </c>
      <c r="H8" s="42">
        <f>IF(H9=Charts!$T$2,1,0)</f>
        <v>1</v>
      </c>
      <c r="L8" s="52" t="s">
        <v>14</v>
      </c>
      <c r="P8" s="42">
        <v>6</v>
      </c>
      <c r="Q8" s="42" t="s">
        <v>163</v>
      </c>
      <c r="R8" s="42" t="s">
        <v>222</v>
      </c>
      <c r="S8" s="42" t="str">
        <f t="shared" si="2"/>
        <v/>
      </c>
      <c r="T8" s="42" t="e">
        <f>SMALL($S$3:$S$10,ROWS(S$3:$S8))</f>
        <v>#NUM!</v>
      </c>
      <c r="U8" s="42" t="e">
        <f t="shared" si="3"/>
        <v>#NUM!</v>
      </c>
      <c r="AA8" s="42">
        <f t="shared" si="5"/>
        <v>6</v>
      </c>
      <c r="AB8" s="42" t="s">
        <v>145</v>
      </c>
      <c r="AC8" s="42" t="s">
        <v>213</v>
      </c>
      <c r="AD8" s="42" t="str">
        <f>IF(AB8=Charts!$F$20,hiddenPage!AA8,"")</f>
        <v/>
      </c>
      <c r="AE8" s="42" t="e">
        <f>SMALL($AD$3:$AD$35,ROWS($AD$3:AD8))</f>
        <v>#NUM!</v>
      </c>
      <c r="AF8" s="42" t="str">
        <f t="shared" si="4"/>
        <v/>
      </c>
      <c r="AG8" s="47">
        <f>SUMIF('1.FinancialPosition'!A:A,hiddenPage!AF8,'1.FinancialPosition'!B:B)+SUMIF('1.FinancialPosition'!A:A,hiddenPage!AF8,'1.FinancialPosition'!C:C)+SUMIF('1.FinancialPosition'!A:A,hiddenPage!AF8,'1.FinancialPosition'!D:D)+SUMIF('1.FinancialPosition'!A:A,hiddenPage!AF8,'1.FinancialPosition'!E:E)+SUMIF('1.FinancialPosition'!A:A,hiddenPage!AF8,'1.FinancialPosition'!F:F)+SUMIF('1.FinancialPosition'!A:A,hiddenPage!AF8,'1.FinancialPosition'!G:G)+SUMIF('1.FinancialPosition'!A:A,hiddenPage!AF8,'1.FinancialPosition'!H:H)</f>
        <v>9.9999904632568359E-3</v>
      </c>
      <c r="AH8" s="64">
        <f>LARGE($AG$3:$AG$13,ROWS(AF$3:$AF8))</f>
        <v>9.9999904632568359E-3</v>
      </c>
      <c r="AI8" s="42" t="str">
        <f t="shared" si="1"/>
        <v/>
      </c>
    </row>
    <row r="9" spans="1:35" x14ac:dyDescent="0.25">
      <c r="B9" s="46">
        <f>B3</f>
        <v>2019</v>
      </c>
      <c r="C9" s="46">
        <f t="shared" ref="C9:H9" si="6">C3</f>
        <v>2020</v>
      </c>
      <c r="D9" s="46">
        <f t="shared" si="6"/>
        <v>2021</v>
      </c>
      <c r="E9" s="46">
        <f t="shared" si="6"/>
        <v>2022</v>
      </c>
      <c r="F9" s="46">
        <f t="shared" si="6"/>
        <v>2023</v>
      </c>
      <c r="G9" s="46">
        <f t="shared" si="6"/>
        <v>2024</v>
      </c>
      <c r="H9" s="46">
        <f t="shared" si="6"/>
        <v>2025</v>
      </c>
      <c r="I9" s="46">
        <f>Charts!T2</f>
        <v>2025</v>
      </c>
      <c r="L9" s="52" t="s">
        <v>15</v>
      </c>
      <c r="P9" s="42">
        <v>7</v>
      </c>
      <c r="Q9" s="42" t="s">
        <v>171</v>
      </c>
      <c r="R9" s="42" t="s">
        <v>15</v>
      </c>
      <c r="S9" s="42" t="str">
        <f t="shared" si="2"/>
        <v/>
      </c>
      <c r="T9" s="42" t="e">
        <f>SMALL($S$3:$S$10,ROWS(S$3:$S9))</f>
        <v>#NUM!</v>
      </c>
      <c r="U9" s="42" t="e">
        <f t="shared" si="3"/>
        <v>#NUM!</v>
      </c>
      <c r="AA9" s="42">
        <f t="shared" si="5"/>
        <v>7</v>
      </c>
      <c r="AB9" s="42" t="s">
        <v>145</v>
      </c>
      <c r="AC9" s="42" t="s">
        <v>4</v>
      </c>
      <c r="AD9" s="42" t="str">
        <f>IF(AB9=Charts!$F$20,hiddenPage!AA9,"")</f>
        <v/>
      </c>
      <c r="AE9" s="42" t="e">
        <f>SMALL($AD$3:$AD$35,ROWS($AD$3:AD9))</f>
        <v>#NUM!</v>
      </c>
      <c r="AF9" s="42" t="str">
        <f t="shared" si="4"/>
        <v/>
      </c>
      <c r="AG9" s="47">
        <f>SUMIF('1.FinancialPosition'!A:A,hiddenPage!AF9,'1.FinancialPosition'!B:B)+SUMIF('1.FinancialPosition'!A:A,hiddenPage!AF9,'1.FinancialPosition'!C:C)+SUMIF('1.FinancialPosition'!A:A,hiddenPage!AF9,'1.FinancialPosition'!D:D)+SUMIF('1.FinancialPosition'!A:A,hiddenPage!AF9,'1.FinancialPosition'!E:E)+SUMIF('1.FinancialPosition'!A:A,hiddenPage!AF9,'1.FinancialPosition'!F:F)+SUMIF('1.FinancialPosition'!A:A,hiddenPage!AF9,'1.FinancialPosition'!G:G)+SUMIF('1.FinancialPosition'!A:A,hiddenPage!AF9,'1.FinancialPosition'!H:H)</f>
        <v>9.9999904632568359E-3</v>
      </c>
      <c r="AH9" s="64">
        <f>LARGE($AG$3:$AG$13,ROWS(AF$3:$AF9))</f>
        <v>9.9999904632568359E-3</v>
      </c>
      <c r="AI9" s="42" t="str">
        <f t="shared" si="1"/>
        <v/>
      </c>
    </row>
    <row r="10" spans="1:35" x14ac:dyDescent="0.25">
      <c r="A10" s="45" t="str">
        <f>U3</f>
        <v>Total non-current assets</v>
      </c>
      <c r="B10" s="47">
        <f>SUMIF('1.FinancialPosition'!$A:$A,$A10,'1.FinancialPosition'!B:B)</f>
        <v>163480244.93000001</v>
      </c>
      <c r="C10" s="47">
        <f>SUMIF('1.FinancialPosition'!$A:$A,$A10,'1.FinancialPosition'!C:C)</f>
        <v>152917930.06</v>
      </c>
      <c r="D10" s="47">
        <f>SUMIF('1.FinancialPosition'!$A:$A,$A10,'1.FinancialPosition'!D:D)</f>
        <v>138364502</v>
      </c>
      <c r="E10" s="47">
        <f>SUMIF('1.FinancialPosition'!$A:$A,$A10,'1.FinancialPosition'!E:E)</f>
        <v>133313884</v>
      </c>
      <c r="F10" s="47">
        <f>SUMIF('1.FinancialPosition'!$A:$A,$A10,'1.FinancialPosition'!F:F)</f>
        <v>118936705</v>
      </c>
      <c r="G10" s="47">
        <f>SUMIF('1.FinancialPosition'!$A:$A,$A10,'1.FinancialPosition'!G:G)</f>
        <v>126388533</v>
      </c>
      <c r="H10" s="47">
        <f>SUMIF('1.FinancialPosition'!$A:$A,$A10,'1.FinancialPosition'!H:H)</f>
        <v>129078789</v>
      </c>
      <c r="I10" s="47">
        <f>SUMPRODUCT(B10:H10,$B$8:$H$8)</f>
        <v>129078789</v>
      </c>
      <c r="L10" s="52" t="s">
        <v>16</v>
      </c>
      <c r="P10" s="42">
        <v>8</v>
      </c>
      <c r="Q10" s="42" t="s">
        <v>171</v>
      </c>
      <c r="R10" s="42" t="s">
        <v>10</v>
      </c>
      <c r="S10" s="42" t="str">
        <f t="shared" si="2"/>
        <v/>
      </c>
      <c r="T10" s="42" t="e">
        <f>SMALL($S$3:$S$10,ROWS(S$3:$S10))</f>
        <v>#NUM!</v>
      </c>
      <c r="U10" s="42" t="e">
        <f t="shared" si="3"/>
        <v>#NUM!</v>
      </c>
      <c r="AA10" s="42">
        <f t="shared" si="5"/>
        <v>8</v>
      </c>
      <c r="AB10" s="42" t="s">
        <v>145</v>
      </c>
      <c r="AC10" s="42" t="s">
        <v>214</v>
      </c>
      <c r="AD10" s="42" t="str">
        <f>IF(AB10=Charts!$F$20,hiddenPage!AA10,"")</f>
        <v/>
      </c>
      <c r="AE10" s="42" t="e">
        <f>SMALL($AD$3:$AD$35,ROWS($AD$3:AD10))</f>
        <v>#NUM!</v>
      </c>
      <c r="AF10" s="42" t="str">
        <f t="shared" si="4"/>
        <v/>
      </c>
      <c r="AG10" s="47">
        <f>SUMIF('1.FinancialPosition'!A:A,hiddenPage!AF10,'1.FinancialPosition'!B:B)+SUMIF('1.FinancialPosition'!A:A,hiddenPage!AF10,'1.FinancialPosition'!C:C)+SUMIF('1.FinancialPosition'!A:A,hiddenPage!AF10,'1.FinancialPosition'!D:D)+SUMIF('1.FinancialPosition'!A:A,hiddenPage!AF10,'1.FinancialPosition'!E:E)+SUMIF('1.FinancialPosition'!A:A,hiddenPage!AF10,'1.FinancialPosition'!F:F)+SUMIF('1.FinancialPosition'!A:A,hiddenPage!AF10,'1.FinancialPosition'!G:G)+SUMIF('1.FinancialPosition'!A:A,hiddenPage!AF10,'1.FinancialPosition'!H:H)</f>
        <v>9.9999904632568359E-3</v>
      </c>
      <c r="AH10" s="64">
        <f>LARGE($AG$3:$AG$13,ROWS(AF$3:$AF10))</f>
        <v>9.9999904632568359E-3</v>
      </c>
      <c r="AI10" s="42" t="str">
        <f t="shared" si="1"/>
        <v/>
      </c>
    </row>
    <row r="11" spans="1:35" x14ac:dyDescent="0.25">
      <c r="A11" s="45" t="str">
        <f>U4</f>
        <v>Total current assets</v>
      </c>
      <c r="B11" s="47">
        <f>SUMIF('1.FinancialPosition'!$A:$A,$A11,'1.FinancialPosition'!B:B)</f>
        <v>82714659.589999989</v>
      </c>
      <c r="C11" s="47">
        <f>SUMIF('1.FinancialPosition'!$A:$A,$A11,'1.FinancialPosition'!C:C)</f>
        <v>78436250.86999999</v>
      </c>
      <c r="D11" s="47">
        <f>SUMIF('1.FinancialPosition'!$A:$A,$A11,'1.FinancialPosition'!D:D)</f>
        <v>105658368</v>
      </c>
      <c r="E11" s="47">
        <f>SUMIF('1.FinancialPosition'!$A:$A,$A11,'1.FinancialPosition'!E:E)</f>
        <v>146753533</v>
      </c>
      <c r="F11" s="47">
        <f>SUMIF('1.FinancialPosition'!$A:$A,$A11,'1.FinancialPosition'!F:F)</f>
        <v>122197548</v>
      </c>
      <c r="G11" s="47">
        <f>SUMIF('1.FinancialPosition'!$A:$A,$A11,'1.FinancialPosition'!G:G)</f>
        <v>110595628</v>
      </c>
      <c r="H11" s="47">
        <f>SUMIF('1.FinancialPosition'!$A:$A,$A11,'1.FinancialPosition'!H:H)</f>
        <v>110162717</v>
      </c>
      <c r="I11" s="47">
        <f>SUMPRODUCT(B11:H11,$B$8:$H$8)</f>
        <v>110162717</v>
      </c>
      <c r="L11" s="52" t="s">
        <v>3</v>
      </c>
      <c r="AA11" s="42">
        <f t="shared" si="5"/>
        <v>9</v>
      </c>
      <c r="AB11" s="42" t="s">
        <v>145</v>
      </c>
      <c r="AC11" s="42" t="s">
        <v>215</v>
      </c>
      <c r="AD11" s="42" t="str">
        <f>IF(AB11=Charts!$F$20,hiddenPage!AA11,"")</f>
        <v/>
      </c>
      <c r="AE11" s="42" t="e">
        <f>SMALL($AD$3:$AD$35,ROWS($AD$3:AD11))</f>
        <v>#NUM!</v>
      </c>
      <c r="AF11" s="42" t="str">
        <f t="shared" si="4"/>
        <v/>
      </c>
      <c r="AG11" s="47">
        <f>SUMIF('1.FinancialPosition'!A:A,hiddenPage!AF11,'1.FinancialPosition'!B:B)+SUMIF('1.FinancialPosition'!A:A,hiddenPage!AF11,'1.FinancialPosition'!C:C)+SUMIF('1.FinancialPosition'!A:A,hiddenPage!AF11,'1.FinancialPosition'!D:D)+SUMIF('1.FinancialPosition'!A:A,hiddenPage!AF11,'1.FinancialPosition'!E:E)+SUMIF('1.FinancialPosition'!A:A,hiddenPage!AF11,'1.FinancialPosition'!F:F)+SUMIF('1.FinancialPosition'!A:A,hiddenPage!AF11,'1.FinancialPosition'!G:G)+SUMIF('1.FinancialPosition'!A:A,hiddenPage!AF11,'1.FinancialPosition'!H:H)</f>
        <v>9.9999904632568359E-3</v>
      </c>
      <c r="AH11" s="64">
        <f>LARGE($AG$3:$AG$13,ROWS(AF$3:$AF11))</f>
        <v>9.9999904632568359E-3</v>
      </c>
      <c r="AI11" s="42" t="str">
        <f t="shared" si="1"/>
        <v/>
      </c>
    </row>
    <row r="12" spans="1:35" x14ac:dyDescent="0.25">
      <c r="L12" s="52" t="s">
        <v>5</v>
      </c>
      <c r="AA12" s="42">
        <f t="shared" si="5"/>
        <v>10</v>
      </c>
      <c r="AB12" s="42" t="s">
        <v>145</v>
      </c>
      <c r="AC12" s="42" t="s">
        <v>216</v>
      </c>
      <c r="AD12" s="42" t="str">
        <f>IF(AB12=Charts!$F$20,hiddenPage!AA12,"")</f>
        <v/>
      </c>
      <c r="AE12" s="42" t="e">
        <f>SMALL($AD$3:$AD$35,ROWS($AD$3:AD12))</f>
        <v>#NUM!</v>
      </c>
      <c r="AF12" s="42" t="str">
        <f t="shared" si="4"/>
        <v/>
      </c>
      <c r="AG12" s="47">
        <f>SUMIF('1.FinancialPosition'!A:A,hiddenPage!AF12,'1.FinancialPosition'!B:B)+SUMIF('1.FinancialPosition'!A:A,hiddenPage!AF12,'1.FinancialPosition'!C:C)+SUMIF('1.FinancialPosition'!A:A,hiddenPage!AF12,'1.FinancialPosition'!D:D)+SUMIF('1.FinancialPosition'!A:A,hiddenPage!AF12,'1.FinancialPosition'!E:E)+SUMIF('1.FinancialPosition'!A:A,hiddenPage!AF12,'1.FinancialPosition'!F:F)+SUMIF('1.FinancialPosition'!A:A,hiddenPage!AF12,'1.FinancialPosition'!G:G)+SUMIF('1.FinancialPosition'!A:A,hiddenPage!AF12,'1.FinancialPosition'!H:H)</f>
        <v>9.9999904632568359E-3</v>
      </c>
      <c r="AH12" s="64">
        <f>LARGE($AG$3:$AG$13,ROWS(AF$3:$AF12))</f>
        <v>9.9999904632568359E-3</v>
      </c>
      <c r="AI12" s="42" t="str">
        <f t="shared" si="1"/>
        <v/>
      </c>
    </row>
    <row r="13" spans="1:35" x14ac:dyDescent="0.25">
      <c r="A13" s="42" t="str">
        <f>"Structure of "&amp;Charts!F20&amp;" in "&amp;Charts!F21</f>
        <v>Structure of Non-current liabilities in 2025</v>
      </c>
      <c r="L13" s="52" t="s">
        <v>220</v>
      </c>
      <c r="AA13" s="42">
        <f t="shared" si="5"/>
        <v>11</v>
      </c>
      <c r="AB13" s="42" t="s">
        <v>145</v>
      </c>
      <c r="AC13" s="42" t="s">
        <v>217</v>
      </c>
      <c r="AD13" s="42" t="str">
        <f>IF(AB13=Charts!$F$20,hiddenPage!AA13,"")</f>
        <v/>
      </c>
      <c r="AE13" s="42" t="e">
        <f>SMALL($AD$3:$AD$35,ROWS($AD$3:AD13))</f>
        <v>#NUM!</v>
      </c>
      <c r="AF13" s="42" t="str">
        <f t="shared" si="4"/>
        <v/>
      </c>
      <c r="AG13" s="47">
        <f>SUMIF('1.FinancialPosition'!A:A,hiddenPage!AF13,'1.FinancialPosition'!B:B)+SUMIF('1.FinancialPosition'!A:A,hiddenPage!AF13,'1.FinancialPosition'!C:C)+SUMIF('1.FinancialPosition'!A:A,hiddenPage!AF13,'1.FinancialPosition'!D:D)+SUMIF('1.FinancialPosition'!A:A,hiddenPage!AF13,'1.FinancialPosition'!E:E)+SUMIF('1.FinancialPosition'!A:A,hiddenPage!AF13,'1.FinancialPosition'!F:F)+SUMIF('1.FinancialPosition'!A:A,hiddenPage!AF13,'1.FinancialPosition'!G:G)+SUMIF('1.FinancialPosition'!A:A,hiddenPage!AF13,'1.FinancialPosition'!H:H)</f>
        <v>9.9999904632568359E-3</v>
      </c>
      <c r="AH13" s="64">
        <f>LARGE($AG$3:$AG$13,ROWS(AF$3:$AF13))</f>
        <v>9.9999904632568359E-3</v>
      </c>
      <c r="AI13" s="42" t="str">
        <f t="shared" si="1"/>
        <v/>
      </c>
    </row>
    <row r="14" spans="1:35" x14ac:dyDescent="0.25">
      <c r="B14" s="42">
        <f>IF(Charts!$F$21=B15,1,0)</f>
        <v>0</v>
      </c>
      <c r="C14" s="42">
        <f>IF(Charts!$F$21=C15,1,0)</f>
        <v>0</v>
      </c>
      <c r="D14" s="42">
        <f>IF(Charts!$F$21=D15,1,0)</f>
        <v>0</v>
      </c>
      <c r="E14" s="42">
        <f>IF(Charts!$F$21=E15,1,0)</f>
        <v>0</v>
      </c>
      <c r="F14" s="42">
        <f>IF(Charts!$F$21=F15,1,0)</f>
        <v>0</v>
      </c>
      <c r="G14" s="42">
        <f>IF(Charts!$F$21=G15,1,0)</f>
        <v>0</v>
      </c>
      <c r="H14" s="42">
        <f>IF(Charts!$F$21=H15,1,0)</f>
        <v>1</v>
      </c>
      <c r="L14" s="52" t="s">
        <v>222</v>
      </c>
      <c r="AA14" s="42">
        <f t="shared" si="5"/>
        <v>12</v>
      </c>
      <c r="AB14" s="42" t="s">
        <v>169</v>
      </c>
      <c r="AC14" s="42" t="s">
        <v>7</v>
      </c>
      <c r="AD14" s="42" t="str">
        <f>IF(AB14=Charts!$F$20,hiddenPage!AA14,"")</f>
        <v/>
      </c>
      <c r="AE14" s="42" t="e">
        <f>SMALL($AD$3:$AD$35,ROWS($AD$3:AD14))</f>
        <v>#NUM!</v>
      </c>
      <c r="AG14" s="47"/>
      <c r="AH14" s="64"/>
    </row>
    <row r="15" spans="1:35" x14ac:dyDescent="0.25">
      <c r="A15" s="44"/>
      <c r="B15" s="66">
        <f>B9</f>
        <v>2019</v>
      </c>
      <c r="C15" s="66">
        <f t="shared" ref="C15:H15" si="7">C9</f>
        <v>2020</v>
      </c>
      <c r="D15" s="66">
        <f t="shared" si="7"/>
        <v>2021</v>
      </c>
      <c r="E15" s="66">
        <f t="shared" si="7"/>
        <v>2022</v>
      </c>
      <c r="F15" s="66">
        <f t="shared" si="7"/>
        <v>2023</v>
      </c>
      <c r="G15" s="66">
        <f t="shared" si="7"/>
        <v>2024</v>
      </c>
      <c r="H15" s="66">
        <f t="shared" si="7"/>
        <v>2025</v>
      </c>
      <c r="I15" s="53" t="s">
        <v>179</v>
      </c>
      <c r="J15" s="53" t="s">
        <v>180</v>
      </c>
      <c r="K15" s="53"/>
      <c r="L15" s="52" t="s">
        <v>181</v>
      </c>
      <c r="M15" s="53"/>
      <c r="N15" s="21" t="s">
        <v>182</v>
      </c>
      <c r="O15" s="21"/>
      <c r="P15" s="21"/>
      <c r="Q15" s="21" t="s">
        <v>183</v>
      </c>
      <c r="R15" s="21" t="s">
        <v>184</v>
      </c>
      <c r="AA15" s="42">
        <f>AA13+1</f>
        <v>12</v>
      </c>
      <c r="AB15" s="42" t="s">
        <v>169</v>
      </c>
      <c r="AC15" s="42" t="s">
        <v>8</v>
      </c>
      <c r="AD15" s="42" t="str">
        <f>IF(AB15=Charts!$F$20,hiddenPage!AA15,"")</f>
        <v/>
      </c>
      <c r="AE15" s="42" t="e">
        <f>SMALL($AD$3:$AD$35,ROWS($AD$3:AD15))</f>
        <v>#NUM!</v>
      </c>
      <c r="AF15" s="42" t="str">
        <f>IF(ISERROR(VLOOKUP(AE15,$AA$3:$AC$40,3,0)),"",VLOOKUP(AE15,$AA$3:$AC$40,3,0))</f>
        <v/>
      </c>
    </row>
    <row r="16" spans="1:35" x14ac:dyDescent="0.25">
      <c r="A16" s="44" t="str">
        <f>AF3</f>
        <v>Other non – current provisions</v>
      </c>
      <c r="B16" s="67">
        <f>SUMIF('1.FinancialPosition'!$A:$A,$A16,'1.FinancialPosition'!B:B)</f>
        <v>0</v>
      </c>
      <c r="C16" s="67">
        <f>SUMIF('1.FinancialPosition'!$A:$A,$A16,'1.FinancialPosition'!C:C)</f>
        <v>200000</v>
      </c>
      <c r="D16" s="67">
        <f>SUMIF('1.FinancialPosition'!$A:$A,$A16,'1.FinancialPosition'!D:D)</f>
        <v>400000</v>
      </c>
      <c r="E16" s="67">
        <f>SUMIF('1.FinancialPosition'!$A:$A,$A16,'1.FinancialPosition'!E:E)</f>
        <v>1000000</v>
      </c>
      <c r="F16" s="67">
        <f>SUMIF('1.FinancialPosition'!$A:$A,$A16,'1.FinancialPosition'!F:F)</f>
        <v>1117000</v>
      </c>
      <c r="G16" s="67">
        <f>SUMIF('1.FinancialPosition'!$A:$A,$A16,'1.FinancialPosition'!G:G)</f>
        <v>1117000</v>
      </c>
      <c r="H16" s="67">
        <f>SUMIF('1.FinancialPosition'!$A:$A,$A16,'1.FinancialPosition'!H:H)</f>
        <v>985000</v>
      </c>
      <c r="I16" s="69">
        <f>SUMPRODUCT($B$14:$H$14,B16:H16)</f>
        <v>985000</v>
      </c>
      <c r="J16" s="70">
        <f>RANK(I16,$I$16:$I$22,0)+COUNTIF($I16:I$22,I16)-1</f>
        <v>4</v>
      </c>
      <c r="K16" s="53"/>
      <c r="L16" s="52">
        <v>1</v>
      </c>
      <c r="M16" s="53"/>
      <c r="N16" s="21" t="str">
        <f t="shared" ref="N16:N22" si="8">INDEX($A$16:$A$22,MATCH(L16,$J$16:$J$22,0))</f>
        <v>Deferred tax liabilities</v>
      </c>
      <c r="O16" s="21"/>
      <c r="P16" s="21"/>
      <c r="Q16" s="71">
        <f>SUMIF($A$16:$A$22,N16,$I$16:$I$22)</f>
        <v>5637270</v>
      </c>
      <c r="R16" s="72">
        <f>Q16/$Q$23</f>
        <v>0.34204502181775026</v>
      </c>
      <c r="AD16" s="42" t="str">
        <f>IF(AB16=Charts!$F$20,hiddenPage!AA16,"")</f>
        <v/>
      </c>
      <c r="AE16" s="42" t="e">
        <f>SMALL($AD$3:$AD$35,ROWS($AD$3:AD16))</f>
        <v>#NUM!</v>
      </c>
    </row>
    <row r="17" spans="1:32" x14ac:dyDescent="0.25">
      <c r="A17" s="44" t="str">
        <f t="shared" ref="A17:A22" si="9">AF4</f>
        <v>Deferred tax liabilities</v>
      </c>
      <c r="B17" s="67">
        <f>SUMIF('1.FinancialPosition'!$A:$A,$A17,'1.FinancialPosition'!B:B)</f>
        <v>8368626</v>
      </c>
      <c r="C17" s="67">
        <f>SUMIF('1.FinancialPosition'!$A:$A,$A17,'1.FinancialPosition'!C:C)</f>
        <v>7857468</v>
      </c>
      <c r="D17" s="67">
        <f>SUMIF('1.FinancialPosition'!$A:$A,$A17,'1.FinancialPosition'!D:D)</f>
        <v>8012574</v>
      </c>
      <c r="E17" s="67">
        <f>SUMIF('1.FinancialPosition'!$A:$A,$A17,'1.FinancialPosition'!E:E)</f>
        <v>7780659</v>
      </c>
      <c r="F17" s="67">
        <f>SUMIF('1.FinancialPosition'!$A:$A,$A17,'1.FinancialPosition'!F:F)</f>
        <v>7477700</v>
      </c>
      <c r="G17" s="67">
        <f>SUMIF('1.FinancialPosition'!$A:$A,$A17,'1.FinancialPosition'!G:G)</f>
        <v>5637270</v>
      </c>
      <c r="H17" s="67">
        <f>SUMIF('1.FinancialPosition'!$A:$A,$A17,'1.FinancialPosition'!H:H)</f>
        <v>5637270</v>
      </c>
      <c r="I17" s="69">
        <f t="shared" ref="I17:I22" si="10">SUMPRODUCT($B$14:$H$14,B17:H17)</f>
        <v>5637270</v>
      </c>
      <c r="J17" s="70">
        <f>RANK(I17,$I$16:$I$22,0)+COUNTIF($I17:I$22,I17)-1</f>
        <v>1</v>
      </c>
      <c r="K17" s="53"/>
      <c r="L17" s="52">
        <v>2</v>
      </c>
      <c r="M17" s="53"/>
      <c r="N17" s="21" t="str">
        <f t="shared" si="8"/>
        <v>Other non-current financial liabilities</v>
      </c>
      <c r="O17" s="21"/>
      <c r="P17" s="21"/>
      <c r="Q17" s="71">
        <f t="shared" ref="Q17:Q22" si="11">SUMIF($A$16:$A$22,N17,$I$16:$I$22)</f>
        <v>4959969</v>
      </c>
      <c r="R17" s="72">
        <f t="shared" ref="R17:R22" si="12">Q17/$Q$23</f>
        <v>0.30094934335597989</v>
      </c>
      <c r="AD17" s="42" t="str">
        <f>IF(AB17=Charts!$F$20,hiddenPage!AA17,"")</f>
        <v/>
      </c>
      <c r="AE17" s="42" t="e">
        <f>SMALL($AD$3:$AD$35,ROWS($AD$3:AD17))</f>
        <v>#NUM!</v>
      </c>
    </row>
    <row r="18" spans="1:32" x14ac:dyDescent="0.25">
      <c r="A18" s="44" t="str">
        <f t="shared" si="9"/>
        <v>Other non-current financial liabilities</v>
      </c>
      <c r="B18" s="67">
        <f>SUMIF('1.FinancialPosition'!$A:$A,$A18,'1.FinancialPosition'!B:B)</f>
        <v>12705852</v>
      </c>
      <c r="C18" s="67">
        <f>SUMIF('1.FinancialPosition'!$A:$A,$A18,'1.FinancialPosition'!C:C)</f>
        <v>6420472.3300000001</v>
      </c>
      <c r="D18" s="67">
        <f>SUMIF('1.FinancialPosition'!$A:$A,$A18,'1.FinancialPosition'!D:D)</f>
        <v>4017590</v>
      </c>
      <c r="E18" s="67">
        <f>SUMIF('1.FinancialPosition'!$A:$A,$A18,'1.FinancialPosition'!E:E)</f>
        <v>4044764</v>
      </c>
      <c r="F18" s="67">
        <f>SUMIF('1.FinancialPosition'!$A:$A,$A18,'1.FinancialPosition'!F:F)</f>
        <v>7283273</v>
      </c>
      <c r="G18" s="67">
        <f>SUMIF('1.FinancialPosition'!$A:$A,$A18,'1.FinancialPosition'!G:G)</f>
        <v>0</v>
      </c>
      <c r="H18" s="67">
        <f>SUMIF('1.FinancialPosition'!$A:$A,$A18,'1.FinancialPosition'!H:H)</f>
        <v>4959969</v>
      </c>
      <c r="I18" s="69">
        <f t="shared" si="10"/>
        <v>4959969</v>
      </c>
      <c r="J18" s="70">
        <f>RANK(I18,$I$16:$I$22,0)+COUNTIF($I18:I$22,I18)-1</f>
        <v>2</v>
      </c>
      <c r="K18" s="53"/>
      <c r="L18" s="52">
        <v>3</v>
      </c>
      <c r="M18" s="53"/>
      <c r="N18" s="21" t="str">
        <f t="shared" si="8"/>
        <v>Other non-current non-financial liabilities</v>
      </c>
      <c r="O18" s="21"/>
      <c r="P18" s="21"/>
      <c r="Q18" s="71">
        <f t="shared" si="11"/>
        <v>4898837</v>
      </c>
      <c r="R18" s="72">
        <f t="shared" si="12"/>
        <v>0.29724011951646845</v>
      </c>
      <c r="AD18" s="42" t="str">
        <f>IF(AB18=Charts!$F$20,hiddenPage!AA18,"")</f>
        <v/>
      </c>
      <c r="AE18" s="42" t="e">
        <f>SMALL($AD$3:$AD$35,ROWS($AD$3:AD18))</f>
        <v>#NUM!</v>
      </c>
    </row>
    <row r="19" spans="1:32" x14ac:dyDescent="0.25">
      <c r="A19" s="44" t="str">
        <f t="shared" si="9"/>
        <v>Other non-current non-financial liabilities</v>
      </c>
      <c r="B19" s="67">
        <f>SUMIF('1.FinancialPosition'!$A:$A,$A19,'1.FinancialPosition'!B:B)</f>
        <v>13138558.98</v>
      </c>
      <c r="C19" s="67">
        <f>SUMIF('1.FinancialPosition'!$A:$A,$A19,'1.FinancialPosition'!C:C)</f>
        <v>10879379.199999999</v>
      </c>
      <c r="D19" s="67">
        <f>SUMIF('1.FinancialPosition'!$A:$A,$A19,'1.FinancialPosition'!D:D)</f>
        <v>8619928</v>
      </c>
      <c r="E19" s="67">
        <f>SUMIF('1.FinancialPosition'!$A:$A,$A19,'1.FinancialPosition'!E:E)</f>
        <v>7475188</v>
      </c>
      <c r="F19" s="67">
        <f>SUMIF('1.FinancialPosition'!$A:$A,$A19,'1.FinancialPosition'!F:F)</f>
        <v>5361210</v>
      </c>
      <c r="G19" s="67">
        <f>SUMIF('1.FinancialPosition'!$A:$A,$A19,'1.FinancialPosition'!G:G)</f>
        <v>6416391</v>
      </c>
      <c r="H19" s="67">
        <f>SUMIF('1.FinancialPosition'!$A:$A,$A19,'1.FinancialPosition'!H:H)</f>
        <v>4898837</v>
      </c>
      <c r="I19" s="69">
        <f t="shared" si="10"/>
        <v>4898837</v>
      </c>
      <c r="J19" s="70">
        <f>RANK(I19,$I$16:$I$22,0)+COUNTIF($I19:I$22,I19)-1</f>
        <v>3</v>
      </c>
      <c r="K19" s="53"/>
      <c r="L19" s="52">
        <v>4</v>
      </c>
      <c r="M19" s="53"/>
      <c r="N19" s="21" t="str">
        <f t="shared" si="8"/>
        <v>Other non – current provisions</v>
      </c>
      <c r="O19" s="21"/>
      <c r="P19" s="21"/>
      <c r="Q19" s="71">
        <f t="shared" si="11"/>
        <v>985000</v>
      </c>
      <c r="R19" s="72">
        <f t="shared" si="12"/>
        <v>5.9765515309801377E-2</v>
      </c>
      <c r="AD19" s="42" t="str">
        <f>IF(AB19=Charts!$F$20,hiddenPage!AA19,"")</f>
        <v/>
      </c>
      <c r="AE19" s="42" t="e">
        <f>SMALL($AD$3:$AD$35,ROWS($AD$3:AD19))</f>
        <v>#NUM!</v>
      </c>
    </row>
    <row r="20" spans="1:32" x14ac:dyDescent="0.25">
      <c r="A20" s="44" t="str">
        <f t="shared" si="9"/>
        <v/>
      </c>
      <c r="B20" s="67">
        <f>SUMIF('1.FinancialPosition'!$A:$A,$A20,'1.FinancialPosition'!B:B)</f>
        <v>0</v>
      </c>
      <c r="C20" s="67">
        <f>SUMIF('1.FinancialPosition'!$A:$A,$A20,'1.FinancialPosition'!C:C)</f>
        <v>-9.9999904632568359E-3</v>
      </c>
      <c r="D20" s="67">
        <f>SUMIF('1.FinancialPosition'!$A:$A,$A20,'1.FinancialPosition'!D:D)</f>
        <v>0</v>
      </c>
      <c r="E20" s="67">
        <f>SUMIF('1.FinancialPosition'!$A:$A,$A20,'1.FinancialPosition'!E:E)</f>
        <v>1.9999980926513672E-2</v>
      </c>
      <c r="F20" s="67">
        <f>SUMIF('1.FinancialPosition'!$A:$A,$A20,'1.FinancialPosition'!F:F)</f>
        <v>0</v>
      </c>
      <c r="G20" s="67">
        <f>SUMIF('1.FinancialPosition'!$A:$A,$A20,'1.FinancialPosition'!G:G)</f>
        <v>0</v>
      </c>
      <c r="H20" s="67">
        <f>SUMIF('1.FinancialPosition'!$A:$A,$A20,'1.FinancialPosition'!H:H)</f>
        <v>0</v>
      </c>
      <c r="I20" s="69">
        <f t="shared" si="10"/>
        <v>0</v>
      </c>
      <c r="J20" s="70">
        <f>RANK(I20,$I$16:$I$22,0)+COUNTIF($I20:I$22,I20)-1</f>
        <v>7</v>
      </c>
      <c r="K20" s="53"/>
      <c r="L20" s="52">
        <v>5</v>
      </c>
      <c r="M20" s="53"/>
      <c r="N20" s="21" t="str">
        <f t="shared" si="8"/>
        <v/>
      </c>
      <c r="O20" s="21"/>
      <c r="P20" s="21"/>
      <c r="Q20" s="71">
        <f t="shared" si="11"/>
        <v>0</v>
      </c>
      <c r="R20" s="72">
        <f t="shared" si="12"/>
        <v>0</v>
      </c>
      <c r="AD20" s="42" t="str">
        <f>IF(AB20=Charts!$F$20,hiddenPage!AA20,"")</f>
        <v/>
      </c>
      <c r="AE20" s="42" t="e">
        <f>SMALL($AD$3:$AD$35,ROWS($AD$3:AD20))</f>
        <v>#NUM!</v>
      </c>
    </row>
    <row r="21" spans="1:32" x14ac:dyDescent="0.25">
      <c r="A21" s="44" t="str">
        <f t="shared" si="9"/>
        <v/>
      </c>
      <c r="B21" s="67">
        <f>SUMIF('1.FinancialPosition'!$A:$A,$A21,'1.FinancialPosition'!B:B)</f>
        <v>0</v>
      </c>
      <c r="C21" s="67">
        <f>SUMIF('1.FinancialPosition'!$A:$A,$A21,'1.FinancialPosition'!C:C)</f>
        <v>-9.9999904632568359E-3</v>
      </c>
      <c r="D21" s="67">
        <f>SUMIF('1.FinancialPosition'!$A:$A,$A21,'1.FinancialPosition'!D:D)</f>
        <v>0</v>
      </c>
      <c r="E21" s="67">
        <f>SUMIF('1.FinancialPosition'!$A:$A,$A21,'1.FinancialPosition'!E:E)</f>
        <v>1.9999980926513672E-2</v>
      </c>
      <c r="F21" s="67">
        <f>SUMIF('1.FinancialPosition'!$A:$A,$A21,'1.FinancialPosition'!F:F)</f>
        <v>0</v>
      </c>
      <c r="G21" s="67">
        <f>SUMIF('1.FinancialPosition'!$A:$A,$A21,'1.FinancialPosition'!G:G)</f>
        <v>0</v>
      </c>
      <c r="H21" s="67">
        <f>SUMIF('1.FinancialPosition'!$A:$A,$A21,'1.FinancialPosition'!H:H)</f>
        <v>0</v>
      </c>
      <c r="I21" s="69">
        <f t="shared" si="10"/>
        <v>0</v>
      </c>
      <c r="J21" s="70">
        <f>RANK(I21,$I$16:$I$22,0)+COUNTIF($I21:I$22,I21)-1</f>
        <v>6</v>
      </c>
      <c r="K21" s="53"/>
      <c r="L21" s="52">
        <v>6</v>
      </c>
      <c r="M21" s="53"/>
      <c r="N21" s="21" t="str">
        <f t="shared" si="8"/>
        <v/>
      </c>
      <c r="O21" s="21"/>
      <c r="P21" s="21"/>
      <c r="Q21" s="71">
        <f t="shared" si="11"/>
        <v>0</v>
      </c>
      <c r="R21" s="72">
        <f t="shared" si="12"/>
        <v>0</v>
      </c>
      <c r="AD21" s="42" t="str">
        <f>IF(AB21=Charts!$F$20,hiddenPage!AA21,"")</f>
        <v/>
      </c>
      <c r="AE21" s="42" t="e">
        <f>SMALL($AD$3:$AD$35,ROWS($AD$3:AD21))</f>
        <v>#NUM!</v>
      </c>
    </row>
    <row r="22" spans="1:32" x14ac:dyDescent="0.25">
      <c r="A22" s="44" t="str">
        <f t="shared" si="9"/>
        <v/>
      </c>
      <c r="B22" s="67">
        <f>SUMIF('1.FinancialPosition'!$A:$A,$A22,'1.FinancialPosition'!B:B)</f>
        <v>0</v>
      </c>
      <c r="C22" s="67">
        <f>SUMIF('1.FinancialPosition'!$A:$A,$A22,'1.FinancialPosition'!C:C)</f>
        <v>-9.9999904632568359E-3</v>
      </c>
      <c r="D22" s="67">
        <f>SUMIF('1.FinancialPosition'!$A:$A,$A22,'1.FinancialPosition'!D:D)</f>
        <v>0</v>
      </c>
      <c r="E22" s="67">
        <f>SUMIF('1.FinancialPosition'!$A:$A,$A22,'1.FinancialPosition'!E:E)</f>
        <v>1.9999980926513672E-2</v>
      </c>
      <c r="F22" s="67">
        <f>SUMIF('1.FinancialPosition'!$A:$A,$A22,'1.FinancialPosition'!F:F)</f>
        <v>0</v>
      </c>
      <c r="G22" s="67">
        <f>SUMIF('1.FinancialPosition'!$A:$A,$A22,'1.FinancialPosition'!G:G)</f>
        <v>0</v>
      </c>
      <c r="H22" s="67">
        <f>SUMIF('1.FinancialPosition'!$A:$A,$A22,'1.FinancialPosition'!H:H)</f>
        <v>0</v>
      </c>
      <c r="I22" s="69">
        <f t="shared" si="10"/>
        <v>0</v>
      </c>
      <c r="J22" s="70">
        <f>RANK(I22,$I$16:$I$22,0)+COUNTIF($I22:I$22,I22)-1</f>
        <v>5</v>
      </c>
      <c r="K22" s="53"/>
      <c r="L22" s="52">
        <v>7</v>
      </c>
      <c r="M22" s="53"/>
      <c r="N22" s="21" t="str">
        <f t="shared" si="8"/>
        <v/>
      </c>
      <c r="O22" s="21"/>
      <c r="P22" s="21"/>
      <c r="Q22" s="71">
        <f t="shared" si="11"/>
        <v>0</v>
      </c>
      <c r="R22" s="72">
        <f t="shared" si="12"/>
        <v>0</v>
      </c>
      <c r="AD22" s="42" t="str">
        <f>IF(AB22=Charts!$F$20,hiddenPage!AA22,"")</f>
        <v/>
      </c>
      <c r="AE22" s="42" t="e">
        <f>SMALL($AD$3:$AD$35,ROWS($AD$3:AD22))</f>
        <v>#NUM!</v>
      </c>
    </row>
    <row r="23" spans="1:32" x14ac:dyDescent="0.25">
      <c r="N23" s="52" t="str">
        <f>"Total  : "&amp;TEXT(Q23,"#,##0;[Red]-#,##0")&amp;" lei"</f>
        <v>Total  : 16481076,0 lei</v>
      </c>
      <c r="Q23" s="55">
        <f>SUM(Q16:Q22)</f>
        <v>16481076</v>
      </c>
      <c r="AD23" s="42" t="str">
        <f>IF(AB23=Charts!$F$20,hiddenPage!AA23,"")</f>
        <v/>
      </c>
      <c r="AE23" s="42" t="e">
        <f>SMALL($AD$3:$AD$35,ROWS($AD$3:AD23))</f>
        <v>#NUM!</v>
      </c>
    </row>
    <row r="24" spans="1:32" x14ac:dyDescent="0.25">
      <c r="B24" s="46">
        <f>B15</f>
        <v>2019</v>
      </c>
      <c r="C24" s="46">
        <f t="shared" ref="C24:H24" si="13">C15</f>
        <v>2020</v>
      </c>
      <c r="D24" s="46">
        <f t="shared" si="13"/>
        <v>2021</v>
      </c>
      <c r="E24" s="46">
        <f t="shared" si="13"/>
        <v>2022</v>
      </c>
      <c r="F24" s="46">
        <f t="shared" si="13"/>
        <v>2023</v>
      </c>
      <c r="G24" s="46">
        <f t="shared" si="13"/>
        <v>2024</v>
      </c>
      <c r="H24" s="46">
        <f t="shared" si="13"/>
        <v>2025</v>
      </c>
      <c r="I24" s="56" t="s">
        <v>53</v>
      </c>
      <c r="J24" s="44"/>
      <c r="AA24" s="42">
        <f>AA15+1</f>
        <v>13</v>
      </c>
      <c r="AB24" s="42" t="s">
        <v>169</v>
      </c>
      <c r="AC24" s="42" t="s">
        <v>218</v>
      </c>
      <c r="AD24" s="42" t="str">
        <f>IF(AB24=Charts!$F$20,hiddenPage!AA24,"")</f>
        <v/>
      </c>
      <c r="AE24" s="42" t="e">
        <f>SMALL($AD$3:$AD$35,ROWS($AD$3:AD24))</f>
        <v>#NUM!</v>
      </c>
      <c r="AF24" s="42" t="str">
        <f t="shared" ref="AF24:AF31" si="14">IF(ISERROR(VLOOKUP(AE24,$AA$3:$AC$40,3,0)),"",VLOOKUP(AE24,$AA$3:$AC$40,3,0))</f>
        <v/>
      </c>
    </row>
    <row r="25" spans="1:32" x14ac:dyDescent="0.25">
      <c r="A25" s="45" t="str">
        <f t="shared" ref="A25:A31" si="15">AI3</f>
        <v>Other non-current non-financial liabilities</v>
      </c>
      <c r="B25" s="47">
        <f>SUMIF('1.FinancialPosition'!$A:$A,$A25,'1.FinancialPosition'!B:B)</f>
        <v>13138558.98</v>
      </c>
      <c r="C25" s="47">
        <f>SUMIF('1.FinancialPosition'!$A:$A,$A25,'1.FinancialPosition'!C:C)</f>
        <v>10879379.199999999</v>
      </c>
      <c r="D25" s="47">
        <f>SUMIF('1.FinancialPosition'!$A:$A,$A25,'1.FinancialPosition'!D:D)</f>
        <v>8619928</v>
      </c>
      <c r="E25" s="47">
        <f>SUMIF('1.FinancialPosition'!$A:$A,$A25,'1.FinancialPosition'!E:E)</f>
        <v>7475188</v>
      </c>
      <c r="F25" s="47">
        <f>SUMIF('1.FinancialPosition'!$A:$A,$A25,'1.FinancialPosition'!F:F)</f>
        <v>5361210</v>
      </c>
      <c r="G25" s="47">
        <f>SUMIF('1.FinancialPosition'!$A:$A,$A25,'1.FinancialPosition'!G:G)</f>
        <v>6416391</v>
      </c>
      <c r="H25" s="47">
        <f>SUMIF('1.FinancialPosition'!$A:$A,$A25,'1.FinancialPosition'!H:H)</f>
        <v>4898837</v>
      </c>
      <c r="I25" s="65">
        <f>SUM(B25:H25)</f>
        <v>56789492.18</v>
      </c>
      <c r="J25" s="44">
        <f>IF(I25&gt;1,1,0)</f>
        <v>1</v>
      </c>
      <c r="AA25" s="42">
        <f t="shared" si="5"/>
        <v>14</v>
      </c>
      <c r="AB25" s="42" t="s">
        <v>169</v>
      </c>
      <c r="AC25" s="42" t="s">
        <v>9</v>
      </c>
      <c r="AD25" s="42" t="str">
        <f>IF(AB25=Charts!$F$20,hiddenPage!AA25,"")</f>
        <v/>
      </c>
      <c r="AE25" s="42" t="e">
        <f>SMALL($AD$3:$AD$35,ROWS($AD$3:AD25))</f>
        <v>#NUM!</v>
      </c>
      <c r="AF25" s="42" t="str">
        <f t="shared" si="14"/>
        <v/>
      </c>
    </row>
    <row r="26" spans="1:32" x14ac:dyDescent="0.25">
      <c r="A26" s="45" t="str">
        <f t="shared" si="15"/>
        <v>Deferred tax liabilities</v>
      </c>
      <c r="B26" s="47">
        <f>SUMIF('1.FinancialPosition'!$A:$A,$A26,'1.FinancialPosition'!B:B)</f>
        <v>8368626</v>
      </c>
      <c r="C26" s="47">
        <f>SUMIF('1.FinancialPosition'!$A:$A,$A26,'1.FinancialPosition'!C:C)</f>
        <v>7857468</v>
      </c>
      <c r="D26" s="47">
        <f>SUMIF('1.FinancialPosition'!$A:$A,$A26,'1.FinancialPosition'!D:D)</f>
        <v>8012574</v>
      </c>
      <c r="E26" s="47">
        <f>SUMIF('1.FinancialPosition'!$A:$A,$A26,'1.FinancialPosition'!E:E)</f>
        <v>7780659</v>
      </c>
      <c r="F26" s="47">
        <f>SUMIF('1.FinancialPosition'!$A:$A,$A26,'1.FinancialPosition'!F:F)</f>
        <v>7477700</v>
      </c>
      <c r="G26" s="47">
        <f>SUMIF('1.FinancialPosition'!$A:$A,$A26,'1.FinancialPosition'!G:G)</f>
        <v>5637270</v>
      </c>
      <c r="H26" s="47">
        <f>SUMIF('1.FinancialPosition'!$A:$A,$A26,'1.FinancialPosition'!H:H)</f>
        <v>5637270</v>
      </c>
      <c r="I26" s="65">
        <f t="shared" ref="I26:I30" si="16">SUM(B26:H26)</f>
        <v>50771567</v>
      </c>
      <c r="J26" s="44">
        <f t="shared" ref="J26:J31" si="17">IF(I26&gt;1,1,0)</f>
        <v>1</v>
      </c>
      <c r="AA26" s="42">
        <f t="shared" si="5"/>
        <v>15</v>
      </c>
      <c r="AB26" s="42" t="s">
        <v>167</v>
      </c>
      <c r="AC26" s="42" t="s">
        <v>219</v>
      </c>
      <c r="AD26" s="42">
        <f>IF(AB26=Charts!$F$20,hiddenPage!AA26,"")</f>
        <v>15</v>
      </c>
      <c r="AE26" s="42" t="e">
        <f>SMALL($AD$3:$AD$35,ROWS($AD$3:AD26))</f>
        <v>#NUM!</v>
      </c>
      <c r="AF26" s="42" t="str">
        <f t="shared" si="14"/>
        <v/>
      </c>
    </row>
    <row r="27" spans="1:32" x14ac:dyDescent="0.25">
      <c r="A27" s="45" t="str">
        <f t="shared" si="15"/>
        <v>Other non-current financial liabilities</v>
      </c>
      <c r="B27" s="47">
        <f>SUMIF('1.FinancialPosition'!$A:$A,$A27,'1.FinancialPosition'!B:B)</f>
        <v>12705852</v>
      </c>
      <c r="C27" s="47">
        <f>SUMIF('1.FinancialPosition'!$A:$A,$A27,'1.FinancialPosition'!C:C)</f>
        <v>6420472.3300000001</v>
      </c>
      <c r="D27" s="47">
        <f>SUMIF('1.FinancialPosition'!$A:$A,$A27,'1.FinancialPosition'!D:D)</f>
        <v>4017590</v>
      </c>
      <c r="E27" s="47">
        <f>SUMIF('1.FinancialPosition'!$A:$A,$A27,'1.FinancialPosition'!E:E)</f>
        <v>4044764</v>
      </c>
      <c r="F27" s="47">
        <f>SUMIF('1.FinancialPosition'!$A:$A,$A27,'1.FinancialPosition'!F:F)</f>
        <v>7283273</v>
      </c>
      <c r="G27" s="47">
        <f>SUMIF('1.FinancialPosition'!$A:$A,$A27,'1.FinancialPosition'!G:G)</f>
        <v>0</v>
      </c>
      <c r="H27" s="47">
        <f>SUMIF('1.FinancialPosition'!$A:$A,$A27,'1.FinancialPosition'!H:H)</f>
        <v>4959969</v>
      </c>
      <c r="I27" s="65">
        <f t="shared" si="16"/>
        <v>39431920.329999998</v>
      </c>
      <c r="J27" s="44">
        <f t="shared" si="17"/>
        <v>1</v>
      </c>
      <c r="AA27" s="42">
        <f t="shared" si="5"/>
        <v>16</v>
      </c>
      <c r="AB27" s="42" t="s">
        <v>167</v>
      </c>
      <c r="AC27" s="42" t="s">
        <v>11</v>
      </c>
      <c r="AD27" s="42">
        <f>IF(AB27=Charts!$F$20,hiddenPage!AA27,"")</f>
        <v>16</v>
      </c>
      <c r="AE27" s="42" t="e">
        <f>SMALL($AD$3:$AD$35,ROWS($AD$3:AD27))</f>
        <v>#NUM!</v>
      </c>
      <c r="AF27" s="42" t="str">
        <f t="shared" si="14"/>
        <v/>
      </c>
    </row>
    <row r="28" spans="1:32" x14ac:dyDescent="0.25">
      <c r="A28" s="45" t="str">
        <f t="shared" si="15"/>
        <v>Other non – current provisions</v>
      </c>
      <c r="B28" s="47">
        <f>SUMIF('1.FinancialPosition'!$A:$A,$A28,'1.FinancialPosition'!B:B)</f>
        <v>0</v>
      </c>
      <c r="C28" s="47">
        <f>SUMIF('1.FinancialPosition'!$A:$A,$A28,'1.FinancialPosition'!C:C)</f>
        <v>200000</v>
      </c>
      <c r="D28" s="47">
        <f>SUMIF('1.FinancialPosition'!$A:$A,$A28,'1.FinancialPosition'!D:D)</f>
        <v>400000</v>
      </c>
      <c r="E28" s="47">
        <f>SUMIF('1.FinancialPosition'!$A:$A,$A28,'1.FinancialPosition'!E:E)</f>
        <v>1000000</v>
      </c>
      <c r="F28" s="47">
        <f>SUMIF('1.FinancialPosition'!$A:$A,$A28,'1.FinancialPosition'!F:F)</f>
        <v>1117000</v>
      </c>
      <c r="G28" s="47">
        <f>SUMIF('1.FinancialPosition'!$A:$A,$A28,'1.FinancialPosition'!G:G)</f>
        <v>1117000</v>
      </c>
      <c r="H28" s="47">
        <f>SUMIF('1.FinancialPosition'!$A:$A,$A28,'1.FinancialPosition'!H:H)</f>
        <v>985000</v>
      </c>
      <c r="I28" s="65">
        <f t="shared" si="16"/>
        <v>4819000</v>
      </c>
      <c r="J28" s="44">
        <f t="shared" si="17"/>
        <v>1</v>
      </c>
      <c r="AA28" s="42">
        <f t="shared" si="5"/>
        <v>17</v>
      </c>
      <c r="AB28" s="42" t="s">
        <v>167</v>
      </c>
      <c r="AC28" s="42" t="s">
        <v>220</v>
      </c>
      <c r="AD28" s="42">
        <f>IF(AB28=Charts!$F$20,hiddenPage!AA28,"")</f>
        <v>17</v>
      </c>
      <c r="AE28" s="42" t="e">
        <f>SMALL($AD$3:$AD$35,ROWS($AD$3:AD28))</f>
        <v>#NUM!</v>
      </c>
      <c r="AF28" s="42" t="str">
        <f t="shared" si="14"/>
        <v/>
      </c>
    </row>
    <row r="29" spans="1:32" x14ac:dyDescent="0.25">
      <c r="A29" s="45" t="str">
        <f t="shared" si="15"/>
        <v/>
      </c>
      <c r="B29" s="47">
        <f>SUMIF('1.FinancialPosition'!$A:$A,$A29,'1.FinancialPosition'!B:B)</f>
        <v>0</v>
      </c>
      <c r="C29" s="47">
        <f>SUMIF('1.FinancialPosition'!$A:$A,$A29,'1.FinancialPosition'!C:C)</f>
        <v>-9.9999904632568359E-3</v>
      </c>
      <c r="D29" s="47">
        <f>SUMIF('1.FinancialPosition'!$A:$A,$A29,'1.FinancialPosition'!D:D)</f>
        <v>0</v>
      </c>
      <c r="E29" s="47">
        <f>SUMIF('1.FinancialPosition'!$A:$A,$A29,'1.FinancialPosition'!E:E)</f>
        <v>1.9999980926513672E-2</v>
      </c>
      <c r="F29" s="47">
        <f>SUMIF('1.FinancialPosition'!$A:$A,$A29,'1.FinancialPosition'!F:F)</f>
        <v>0</v>
      </c>
      <c r="G29" s="47">
        <f>SUMIF('1.FinancialPosition'!$A:$A,$A29,'1.FinancialPosition'!G:G)</f>
        <v>0</v>
      </c>
      <c r="H29" s="47">
        <f>SUMIF('1.FinancialPosition'!$A:$A,$A29,'1.FinancialPosition'!H:H)</f>
        <v>0</v>
      </c>
      <c r="I29" s="65">
        <f t="shared" si="16"/>
        <v>9.9999904632568359E-3</v>
      </c>
      <c r="J29" s="44">
        <f t="shared" si="17"/>
        <v>0</v>
      </c>
      <c r="AA29" s="42">
        <f t="shared" si="5"/>
        <v>18</v>
      </c>
      <c r="AB29" s="42" t="s">
        <v>167</v>
      </c>
      <c r="AC29" s="42" t="s">
        <v>221</v>
      </c>
      <c r="AD29" s="42">
        <f>IF(AB29=Charts!$F$20,hiddenPage!AA29,"")</f>
        <v>18</v>
      </c>
      <c r="AE29" s="42" t="e">
        <f>SMALL($AD$3:$AD$35,ROWS($AD$3:AD29))</f>
        <v>#NUM!</v>
      </c>
      <c r="AF29" s="42" t="str">
        <f t="shared" si="14"/>
        <v/>
      </c>
    </row>
    <row r="30" spans="1:32" x14ac:dyDescent="0.25">
      <c r="A30" s="45" t="str">
        <f t="shared" si="15"/>
        <v/>
      </c>
      <c r="B30" s="47">
        <f>SUMIF('1.FinancialPosition'!$A:$A,$A30,'1.FinancialPosition'!B:B)</f>
        <v>0</v>
      </c>
      <c r="C30" s="47">
        <f>SUMIF('1.FinancialPosition'!$A:$A,$A30,'1.FinancialPosition'!C:C)</f>
        <v>-9.9999904632568359E-3</v>
      </c>
      <c r="D30" s="47">
        <f>SUMIF('1.FinancialPosition'!$A:$A,$A30,'1.FinancialPosition'!D:D)</f>
        <v>0</v>
      </c>
      <c r="E30" s="47">
        <f>SUMIF('1.FinancialPosition'!$A:$A,$A30,'1.FinancialPosition'!E:E)</f>
        <v>1.9999980926513672E-2</v>
      </c>
      <c r="F30" s="47">
        <f>SUMIF('1.FinancialPosition'!$A:$A,$A30,'1.FinancialPosition'!F:F)</f>
        <v>0</v>
      </c>
      <c r="G30" s="47">
        <f>SUMIF('1.FinancialPosition'!$A:$A,$A30,'1.FinancialPosition'!G:G)</f>
        <v>0</v>
      </c>
      <c r="H30" s="47">
        <f>SUMIF('1.FinancialPosition'!$A:$A,$A30,'1.FinancialPosition'!H:H)</f>
        <v>0</v>
      </c>
      <c r="I30" s="65">
        <f t="shared" si="16"/>
        <v>9.9999904632568359E-3</v>
      </c>
      <c r="J30" s="44">
        <f t="shared" si="17"/>
        <v>0</v>
      </c>
      <c r="AA30" s="42">
        <f t="shared" si="5"/>
        <v>19</v>
      </c>
      <c r="AD30" s="42" t="str">
        <f>IF(AB30=Charts!$F$20,hiddenPage!AA30,"")</f>
        <v/>
      </c>
      <c r="AE30" s="42" t="e">
        <f>SMALL($AD$3:$AD$35,ROWS($AD$3:AD30))</f>
        <v>#NUM!</v>
      </c>
      <c r="AF30" s="42" t="str">
        <f t="shared" si="14"/>
        <v/>
      </c>
    </row>
    <row r="31" spans="1:32" x14ac:dyDescent="0.25">
      <c r="A31" s="45" t="str">
        <f t="shared" si="15"/>
        <v/>
      </c>
      <c r="B31" s="47">
        <f>SUMIF('1.FinancialPosition'!$A:$A,$A31,'1.FinancialPosition'!B:B)</f>
        <v>0</v>
      </c>
      <c r="C31" s="47">
        <f>SUMIF('1.FinancialPosition'!$A:$A,$A31,'1.FinancialPosition'!C:C)</f>
        <v>-9.9999904632568359E-3</v>
      </c>
      <c r="D31" s="47">
        <f>SUMIF('1.FinancialPosition'!$A:$A,$A31,'1.FinancialPosition'!D:D)</f>
        <v>0</v>
      </c>
      <c r="E31" s="47">
        <f>SUMIF('1.FinancialPosition'!$A:$A,$A31,'1.FinancialPosition'!E:E)</f>
        <v>1.9999980926513672E-2</v>
      </c>
      <c r="F31" s="47">
        <f>SUMIF('1.FinancialPosition'!$A:$A,$A31,'1.FinancialPosition'!F:F)</f>
        <v>0</v>
      </c>
      <c r="G31" s="47">
        <f>SUMIF('1.FinancialPosition'!$A:$A,$A31,'1.FinancialPosition'!G:G)</f>
        <v>0</v>
      </c>
      <c r="H31" s="47">
        <f>SUMIF('1.FinancialPosition'!$A:$A,$A31,'1.FinancialPosition'!H:H)</f>
        <v>0</v>
      </c>
      <c r="I31" s="65">
        <f>SUM(B31:H31)</f>
        <v>9.9999904632568359E-3</v>
      </c>
      <c r="J31" s="44">
        <f t="shared" si="17"/>
        <v>0</v>
      </c>
      <c r="AA31" s="42">
        <f t="shared" si="5"/>
        <v>20</v>
      </c>
      <c r="AB31" s="42" t="s">
        <v>168</v>
      </c>
      <c r="AC31" s="42" t="s">
        <v>13</v>
      </c>
      <c r="AD31" s="42" t="str">
        <f>IF(AB31=Charts!$F$20,hiddenPage!AA31,"")</f>
        <v/>
      </c>
      <c r="AE31" s="42" t="e">
        <f>SMALL($AD$3:$AD$35,ROWS($AD$3:AD31))</f>
        <v>#NUM!</v>
      </c>
      <c r="AF31" s="42" t="str">
        <f t="shared" si="14"/>
        <v/>
      </c>
    </row>
    <row r="32" spans="1:32" x14ac:dyDescent="0.25">
      <c r="A32" s="42" t="str">
        <f>Charts!S20</f>
        <v>Total current assets</v>
      </c>
      <c r="D32" s="42" t="str">
        <f>"Evolution of "&amp;A32&amp;" in the period 2019-2025"</f>
        <v>Evolution of Total current assets in the period 2019-2025</v>
      </c>
      <c r="AA32" s="42">
        <f t="shared" si="5"/>
        <v>21</v>
      </c>
      <c r="AB32" s="42" t="s">
        <v>168</v>
      </c>
      <c r="AC32" s="42" t="s">
        <v>222</v>
      </c>
      <c r="AD32" s="42" t="str">
        <f>IF(AB32=Charts!$F$20,hiddenPage!AA32,"")</f>
        <v/>
      </c>
      <c r="AE32" s="42" t="e">
        <f>SMALL($AD$3:$AD$35,ROWS($AD$3:AD32))</f>
        <v>#NUM!</v>
      </c>
    </row>
    <row r="33" spans="1:31" x14ac:dyDescent="0.25">
      <c r="A33" s="42">
        <v>2019</v>
      </c>
      <c r="B33" s="47">
        <f>SUMIF('1.FinancialPosition'!$A:$A,hiddenPage!$A$32,'1.FinancialPosition'!B:B)</f>
        <v>82714659.589999989</v>
      </c>
      <c r="C33" s="46"/>
      <c r="D33" s="48"/>
      <c r="E33" s="46"/>
      <c r="F33" s="46"/>
      <c r="G33" s="46"/>
      <c r="AA33" s="42">
        <f t="shared" si="5"/>
        <v>22</v>
      </c>
      <c r="AB33" s="42" t="s">
        <v>168</v>
      </c>
      <c r="AC33" s="42" t="s">
        <v>223</v>
      </c>
      <c r="AD33" s="42" t="str">
        <f>IF(AB33=Charts!$F$20,hiddenPage!AA33,"")</f>
        <v/>
      </c>
      <c r="AE33" s="42" t="e">
        <f>SMALL($AD$3:$AD$35,ROWS($AD$3:AD33))</f>
        <v>#NUM!</v>
      </c>
    </row>
    <row r="34" spans="1:31" x14ac:dyDescent="0.25">
      <c r="A34" s="42">
        <f>A33+1</f>
        <v>2020</v>
      </c>
      <c r="B34" s="47">
        <f>SUMIF('1.FinancialPosition'!$A:$A,hiddenPage!$A$32,'1.FinancialPosition'!C:C)</f>
        <v>78436250.86999999</v>
      </c>
      <c r="C34" s="47"/>
      <c r="D34" s="48"/>
      <c r="E34" s="47"/>
      <c r="F34" s="47"/>
      <c r="G34" s="47"/>
      <c r="AA34" s="42">
        <f t="shared" si="5"/>
        <v>23</v>
      </c>
      <c r="AD34" s="42" t="str">
        <f>IF(AB34=Charts!$F$20,hiddenPage!AA34,"")</f>
        <v/>
      </c>
      <c r="AE34" s="42" t="e">
        <f>SMALL($AD$3:$AD$35,ROWS($AD$3:AD34))</f>
        <v>#NUM!</v>
      </c>
    </row>
    <row r="35" spans="1:31" x14ac:dyDescent="0.25">
      <c r="A35" s="42">
        <f t="shared" ref="A35:A39" si="18">A34+1</f>
        <v>2021</v>
      </c>
      <c r="B35" s="47">
        <f>SUMIF('1.FinancialPosition'!$A:$A,hiddenPage!$A$32,'1.FinancialPosition'!D:D)</f>
        <v>105658368</v>
      </c>
      <c r="C35" s="47"/>
      <c r="D35" s="48"/>
      <c r="E35" s="47"/>
      <c r="F35" s="47"/>
      <c r="G35" s="47"/>
      <c r="AA35" s="42">
        <f t="shared" si="5"/>
        <v>24</v>
      </c>
      <c r="AD35" s="42" t="str">
        <f>IF(AB35=Charts!$F$20,hiddenPage!AA35,"")</f>
        <v/>
      </c>
      <c r="AE35" s="42" t="e">
        <f>SMALL($AD$3:$AD$35,ROWS($AD$3:AD35))</f>
        <v>#NUM!</v>
      </c>
    </row>
    <row r="36" spans="1:31" x14ac:dyDescent="0.25">
      <c r="A36" s="42">
        <f t="shared" si="18"/>
        <v>2022</v>
      </c>
      <c r="B36" s="47">
        <f>SUMIF('1.FinancialPosition'!$A:$A,hiddenPage!$A$32,'1.FinancialPosition'!E:E)</f>
        <v>146753533</v>
      </c>
      <c r="C36" s="47"/>
      <c r="D36" s="48"/>
      <c r="E36" s="47"/>
      <c r="F36" s="47"/>
      <c r="G36" s="47"/>
      <c r="AA36" s="42">
        <f t="shared" si="5"/>
        <v>25</v>
      </c>
      <c r="AD36" s="42" t="str">
        <f>IF(AB36=Charts!$F$20,hiddenPage!AA36,"")</f>
        <v/>
      </c>
      <c r="AE36" s="42" t="e">
        <f>SMALL($AD$3:$AD$35,ROWS($AD$3:AD36))</f>
        <v>#NUM!</v>
      </c>
    </row>
    <row r="37" spans="1:31" x14ac:dyDescent="0.25">
      <c r="A37" s="42">
        <f t="shared" si="18"/>
        <v>2023</v>
      </c>
      <c r="B37" s="47">
        <f>SUMIF('1.FinancialPosition'!$A:$A,hiddenPage!$A$32,'1.FinancialPosition'!F:F)</f>
        <v>122197548</v>
      </c>
      <c r="C37" s="47"/>
      <c r="D37" s="48"/>
      <c r="E37" s="47"/>
      <c r="F37" s="47"/>
      <c r="G37" s="47"/>
    </row>
    <row r="38" spans="1:31" x14ac:dyDescent="0.25">
      <c r="A38" s="42">
        <f t="shared" si="18"/>
        <v>2024</v>
      </c>
      <c r="B38" s="47">
        <f>SUMIF('1.FinancialPosition'!$A:$A,hiddenPage!$A$32,'1.FinancialPosition'!G:G)</f>
        <v>110595628</v>
      </c>
      <c r="C38" s="47"/>
      <c r="D38" s="48"/>
      <c r="E38" s="47"/>
      <c r="F38" s="47"/>
      <c r="G38" s="47"/>
    </row>
    <row r="39" spans="1:31" x14ac:dyDescent="0.25">
      <c r="A39" s="42">
        <f t="shared" si="18"/>
        <v>2025</v>
      </c>
      <c r="B39" s="47">
        <f>SUMIF('1.FinancialPosition'!$A:$A,hiddenPage!$A$32,'1.FinancialPosition'!H:H)</f>
        <v>110162717</v>
      </c>
      <c r="C39" s="47"/>
      <c r="D39" s="48"/>
      <c r="E39" s="47"/>
      <c r="F39" s="47"/>
      <c r="G39" s="47"/>
    </row>
    <row r="41" spans="1:31" x14ac:dyDescent="0.25">
      <c r="B41" s="53" t="s">
        <v>173</v>
      </c>
      <c r="C41" s="53" t="s">
        <v>174</v>
      </c>
      <c r="D41" s="53" t="s">
        <v>175</v>
      </c>
      <c r="E41" s="53" t="s">
        <v>176</v>
      </c>
      <c r="F41" s="53" t="s">
        <v>172</v>
      </c>
      <c r="G41" s="53" t="s">
        <v>177</v>
      </c>
    </row>
    <row r="42" spans="1:31" x14ac:dyDescent="0.25">
      <c r="A42" s="54"/>
      <c r="F42" s="55">
        <f>B33</f>
        <v>82714659.589999989</v>
      </c>
      <c r="G42" s="55">
        <f>F42</f>
        <v>82714659.589999989</v>
      </c>
    </row>
    <row r="43" spans="1:31" x14ac:dyDescent="0.25">
      <c r="A43" s="42">
        <v>2020</v>
      </c>
      <c r="B43" s="49">
        <f>SUM(B42,E42:F42)-D43</f>
        <v>78436250.86999999</v>
      </c>
      <c r="C43" s="49"/>
      <c r="D43" s="49">
        <f>IF(G43&lt;0,-G43,0)</f>
        <v>4278408.7199999988</v>
      </c>
      <c r="E43" s="49">
        <f>IF(G43&gt;0,G43,0)</f>
        <v>0</v>
      </c>
      <c r="G43" s="55">
        <f>B34-B33</f>
        <v>-4278408.7199999988</v>
      </c>
    </row>
    <row r="44" spans="1:31" x14ac:dyDescent="0.25">
      <c r="A44" s="42">
        <f>A43+1</f>
        <v>2021</v>
      </c>
      <c r="B44" s="49">
        <f>SUM(B43,E43:F43)-D44</f>
        <v>78436250.86999999</v>
      </c>
      <c r="C44" s="49"/>
      <c r="D44" s="49">
        <f t="shared" ref="D44:D48" si="19">IF(G44&lt;0,-G44,0)</f>
        <v>0</v>
      </c>
      <c r="E44" s="49">
        <f t="shared" ref="E44:E48" si="20">IF(G44&gt;0,G44,0)</f>
        <v>27222117.13000001</v>
      </c>
      <c r="G44" s="55">
        <f t="shared" ref="G44:G48" si="21">B35-B34</f>
        <v>27222117.13000001</v>
      </c>
    </row>
    <row r="45" spans="1:31" x14ac:dyDescent="0.25">
      <c r="A45" s="42">
        <f t="shared" ref="A45:A48" si="22">A44+1</f>
        <v>2022</v>
      </c>
      <c r="B45" s="49">
        <f t="shared" ref="B45:B48" si="23">SUM(B44,E44:F44)-D45</f>
        <v>105658368</v>
      </c>
      <c r="C45" s="49"/>
      <c r="D45" s="49">
        <f t="shared" si="19"/>
        <v>0</v>
      </c>
      <c r="E45" s="49">
        <f t="shared" si="20"/>
        <v>41095165</v>
      </c>
      <c r="G45" s="55">
        <f t="shared" si="21"/>
        <v>41095165</v>
      </c>
    </row>
    <row r="46" spans="1:31" x14ac:dyDescent="0.25">
      <c r="A46" s="42">
        <f t="shared" si="22"/>
        <v>2023</v>
      </c>
      <c r="B46" s="49">
        <f t="shared" si="23"/>
        <v>122197548</v>
      </c>
      <c r="C46" s="49"/>
      <c r="D46" s="49">
        <f t="shared" si="19"/>
        <v>24555985</v>
      </c>
      <c r="E46" s="49">
        <f t="shared" si="20"/>
        <v>0</v>
      </c>
      <c r="G46" s="55">
        <f t="shared" si="21"/>
        <v>-24555985</v>
      </c>
    </row>
    <row r="47" spans="1:31" x14ac:dyDescent="0.25">
      <c r="A47" s="42">
        <f t="shared" si="22"/>
        <v>2024</v>
      </c>
      <c r="B47" s="49">
        <f t="shared" si="23"/>
        <v>110595628</v>
      </c>
      <c r="C47" s="49"/>
      <c r="D47" s="49">
        <f t="shared" si="19"/>
        <v>11601920</v>
      </c>
      <c r="E47" s="49">
        <f t="shared" si="20"/>
        <v>0</v>
      </c>
      <c r="G47" s="55">
        <f t="shared" si="21"/>
        <v>-11601920</v>
      </c>
    </row>
    <row r="48" spans="1:31" x14ac:dyDescent="0.25">
      <c r="A48" s="42">
        <f t="shared" si="22"/>
        <v>2025</v>
      </c>
      <c r="B48" s="49">
        <f t="shared" si="23"/>
        <v>110162717</v>
      </c>
      <c r="C48" s="49"/>
      <c r="D48" s="49">
        <f t="shared" si="19"/>
        <v>432911</v>
      </c>
      <c r="E48" s="49">
        <f t="shared" si="20"/>
        <v>0</v>
      </c>
      <c r="G48" s="55">
        <f t="shared" si="21"/>
        <v>-432911</v>
      </c>
    </row>
    <row r="49" spans="1:18" x14ac:dyDescent="0.25">
      <c r="C49" s="49">
        <f>SUM(B48,E48:F48)-D49</f>
        <v>110162717</v>
      </c>
    </row>
    <row r="52" spans="1:18" x14ac:dyDescent="0.25">
      <c r="B52" s="42">
        <f>IF('2.Comprehensive income'!$X$24=B53,1,0)</f>
        <v>0</v>
      </c>
      <c r="C52" s="42">
        <f>IF('2.Comprehensive income'!$X$24=C53,1,0)</f>
        <v>0</v>
      </c>
      <c r="D52" s="42">
        <f>IF('2.Comprehensive income'!$X$24=D53,1,0)</f>
        <v>0</v>
      </c>
      <c r="E52" s="42">
        <f>IF('2.Comprehensive income'!$X$24=E53,1,0)</f>
        <v>0</v>
      </c>
      <c r="F52" s="42">
        <f>IF('2.Comprehensive income'!$X$24=F53,1,0)</f>
        <v>0</v>
      </c>
      <c r="G52" s="42">
        <f>IF('2.Comprehensive income'!$X$24=G53,1,0)</f>
        <v>0</v>
      </c>
      <c r="H52" s="42">
        <f>IF('2.Comprehensive income'!$X$24=H53,1,0)</f>
        <v>0</v>
      </c>
    </row>
    <row r="53" spans="1:18" x14ac:dyDescent="0.25">
      <c r="A53" s="53" t="s">
        <v>178</v>
      </c>
      <c r="B53" s="46">
        <f>B24</f>
        <v>2019</v>
      </c>
      <c r="C53" s="46">
        <f t="shared" ref="C53:H53" si="24">C24</f>
        <v>2020</v>
      </c>
      <c r="D53" s="46">
        <f t="shared" si="24"/>
        <v>2021</v>
      </c>
      <c r="E53" s="46">
        <f t="shared" si="24"/>
        <v>2022</v>
      </c>
      <c r="F53" s="46">
        <f t="shared" si="24"/>
        <v>2023</v>
      </c>
      <c r="G53" s="46">
        <f t="shared" si="24"/>
        <v>2024</v>
      </c>
      <c r="H53" s="46">
        <f t="shared" si="24"/>
        <v>2025</v>
      </c>
      <c r="I53" s="53" t="s">
        <v>179</v>
      </c>
      <c r="J53" s="53" t="s">
        <v>180</v>
      </c>
      <c r="L53" s="52" t="s">
        <v>181</v>
      </c>
      <c r="N53" s="52" t="s">
        <v>182</v>
      </c>
      <c r="Q53" s="53" t="s">
        <v>183</v>
      </c>
      <c r="R53" s="53" t="s">
        <v>184</v>
      </c>
    </row>
    <row r="54" spans="1:18" x14ac:dyDescent="0.25">
      <c r="A54" s="21" t="s">
        <v>185</v>
      </c>
      <c r="B54" s="17"/>
      <c r="C54" s="17"/>
      <c r="D54" s="17"/>
      <c r="E54" s="17"/>
      <c r="F54" s="17"/>
      <c r="G54" s="17"/>
      <c r="H54" s="31"/>
      <c r="I54" s="64">
        <f>SUMPRODUCT($B$52:$H$52,B54:H54)</f>
        <v>0</v>
      </c>
      <c r="J54" s="55">
        <f>RANK(I54,$I$54:$I$60,0)+COUNTIF($I$54:I54,I54)-1</f>
        <v>1</v>
      </c>
      <c r="L54" s="52">
        <v>1</v>
      </c>
      <c r="N54" s="52" t="str">
        <f>INDEX($A$54:$A$60,MATCH(L54,$J$54:$J$60,0))</f>
        <v>CP1</v>
      </c>
      <c r="Q54" s="47">
        <f>SUMIF($A$54:$A$60,N54,$I$54:$I$60)</f>
        <v>0</v>
      </c>
      <c r="R54" s="68" t="e">
        <f>Q54/$Q$61</f>
        <v>#DIV/0!</v>
      </c>
    </row>
    <row r="55" spans="1:18" x14ac:dyDescent="0.25">
      <c r="A55" s="21" t="s">
        <v>186</v>
      </c>
      <c r="B55" s="17"/>
      <c r="C55" s="17"/>
      <c r="D55" s="17"/>
      <c r="E55" s="17"/>
      <c r="F55" s="17"/>
      <c r="G55" s="17"/>
      <c r="H55" s="31"/>
      <c r="I55" s="64">
        <f t="shared" ref="I55:I60" si="25">SUMPRODUCT($B$52:$H$52,B55:H55)</f>
        <v>0</v>
      </c>
      <c r="J55" s="55">
        <f>RANK(I55,$I$54:$I$60,0)+COUNTIF($I$54:I55,I55)-1</f>
        <v>2</v>
      </c>
      <c r="L55" s="52">
        <f>L54+1</f>
        <v>2</v>
      </c>
      <c r="N55" s="52" t="str">
        <f t="shared" ref="N55:N60" si="26">INDEX($A$54:$A$60,MATCH(L55,$J$54:$J$60,0))</f>
        <v>CP2</v>
      </c>
      <c r="Q55" s="47">
        <f t="shared" ref="Q55:Q60" si="27">SUMIF($A$54:$A$60,N55,$I$54:$I$60)</f>
        <v>0</v>
      </c>
      <c r="R55" s="68" t="e">
        <f t="shared" ref="R55:R60" si="28">Q55/$Q$61</f>
        <v>#DIV/0!</v>
      </c>
    </row>
    <row r="56" spans="1:18" x14ac:dyDescent="0.25">
      <c r="A56" s="21" t="s">
        <v>187</v>
      </c>
      <c r="B56" s="17"/>
      <c r="C56" s="17"/>
      <c r="D56" s="17"/>
      <c r="E56" s="17"/>
      <c r="F56" s="17"/>
      <c r="G56" s="17"/>
      <c r="H56" s="31"/>
      <c r="I56" s="64">
        <f t="shared" si="25"/>
        <v>0</v>
      </c>
      <c r="J56" s="55">
        <f>RANK(I56,$I$54:$I$60,0)+COUNTIF($I$54:I56,I56)-1</f>
        <v>3</v>
      </c>
      <c r="L56" s="52">
        <f t="shared" ref="L56:L60" si="29">L55+1</f>
        <v>3</v>
      </c>
      <c r="N56" s="52" t="str">
        <f t="shared" si="26"/>
        <v>CP3</v>
      </c>
      <c r="Q56" s="47">
        <f t="shared" si="27"/>
        <v>0</v>
      </c>
      <c r="R56" s="68" t="e">
        <f t="shared" si="28"/>
        <v>#DIV/0!</v>
      </c>
    </row>
    <row r="57" spans="1:18" x14ac:dyDescent="0.25">
      <c r="A57" s="21" t="s">
        <v>188</v>
      </c>
      <c r="B57" s="17"/>
      <c r="C57" s="17"/>
      <c r="D57" s="17"/>
      <c r="E57" s="17"/>
      <c r="F57" s="17"/>
      <c r="G57" s="17"/>
      <c r="H57" s="31"/>
      <c r="I57" s="64">
        <f t="shared" si="25"/>
        <v>0</v>
      </c>
      <c r="J57" s="55">
        <f>RANK(I57,$I$54:$I$60,0)+COUNTIF($I$54:I57,I57)-1</f>
        <v>4</v>
      </c>
      <c r="L57" s="52">
        <f t="shared" si="29"/>
        <v>4</v>
      </c>
      <c r="N57" s="52" t="str">
        <f t="shared" si="26"/>
        <v>CP4</v>
      </c>
      <c r="Q57" s="47">
        <f t="shared" si="27"/>
        <v>0</v>
      </c>
      <c r="R57" s="68" t="e">
        <f t="shared" si="28"/>
        <v>#DIV/0!</v>
      </c>
    </row>
    <row r="58" spans="1:18" x14ac:dyDescent="0.25">
      <c r="A58" s="21" t="s">
        <v>189</v>
      </c>
      <c r="B58" s="17"/>
      <c r="C58" s="17"/>
      <c r="D58" s="17"/>
      <c r="E58" s="17"/>
      <c r="F58" s="17"/>
      <c r="G58" s="17"/>
      <c r="H58" s="31"/>
      <c r="I58" s="64">
        <f t="shared" si="25"/>
        <v>0</v>
      </c>
      <c r="J58" s="55">
        <f>RANK(I58,$I$54:$I$60,0)+COUNTIF($I$54:I58,I58)-1</f>
        <v>5</v>
      </c>
      <c r="L58" s="52">
        <f t="shared" si="29"/>
        <v>5</v>
      </c>
      <c r="N58" s="52" t="str">
        <f t="shared" si="26"/>
        <v>CP5</v>
      </c>
      <c r="Q58" s="47">
        <f t="shared" si="27"/>
        <v>0</v>
      </c>
      <c r="R58" s="68" t="e">
        <f t="shared" si="28"/>
        <v>#DIV/0!</v>
      </c>
    </row>
    <row r="59" spans="1:18" x14ac:dyDescent="0.25">
      <c r="A59" s="21" t="s">
        <v>190</v>
      </c>
      <c r="B59" s="17"/>
      <c r="C59" s="17"/>
      <c r="D59" s="17"/>
      <c r="E59" s="17"/>
      <c r="F59" s="17"/>
      <c r="G59" s="17"/>
      <c r="H59" s="31"/>
      <c r="I59" s="64">
        <f t="shared" si="25"/>
        <v>0</v>
      </c>
      <c r="J59" s="55">
        <f>RANK(I59,$I$54:$I$60,0)+COUNTIF($I$54:I59,I59)-1</f>
        <v>6</v>
      </c>
      <c r="L59" s="52">
        <f t="shared" si="29"/>
        <v>6</v>
      </c>
      <c r="N59" s="52" t="str">
        <f t="shared" si="26"/>
        <v>CP6</v>
      </c>
      <c r="Q59" s="47">
        <f t="shared" si="27"/>
        <v>0</v>
      </c>
      <c r="R59" s="68" t="e">
        <f t="shared" si="28"/>
        <v>#DIV/0!</v>
      </c>
    </row>
    <row r="60" spans="1:18" x14ac:dyDescent="0.25">
      <c r="A60" s="21" t="s">
        <v>191</v>
      </c>
      <c r="B60" s="17"/>
      <c r="C60" s="17"/>
      <c r="D60" s="17"/>
      <c r="E60" s="17"/>
      <c r="F60" s="17"/>
      <c r="G60" s="17"/>
      <c r="H60" s="31"/>
      <c r="I60" s="64">
        <f t="shared" si="25"/>
        <v>0</v>
      </c>
      <c r="J60" s="55">
        <f>RANK(I60,$I$54:$I$60,0)+COUNTIF($I$54:I60,I60)-1</f>
        <v>7</v>
      </c>
      <c r="L60" s="52">
        <f t="shared" si="29"/>
        <v>7</v>
      </c>
      <c r="N60" s="52" t="str">
        <f t="shared" si="26"/>
        <v>CP7</v>
      </c>
      <c r="Q60" s="47">
        <f t="shared" si="27"/>
        <v>0</v>
      </c>
      <c r="R60" s="68" t="e">
        <f t="shared" si="28"/>
        <v>#DIV/0!</v>
      </c>
    </row>
    <row r="61" spans="1:18" x14ac:dyDescent="0.25">
      <c r="Q61" s="55">
        <f>SUM(Q54:Q60)</f>
        <v>0</v>
      </c>
    </row>
    <row r="63" spans="1:18" x14ac:dyDescent="0.25">
      <c r="A63" s="53" t="str">
        <f>"Evolution of the sector """&amp;'2.Comprehensive income'!X34&amp;""""</f>
        <v>Evolution of the sector "Regenerated polymers&amp;compounds"</v>
      </c>
      <c r="B63" s="53"/>
      <c r="C63" s="53"/>
      <c r="D63" s="53"/>
      <c r="E63" s="53"/>
      <c r="F63" s="53"/>
      <c r="G63" s="53"/>
      <c r="H63" s="53"/>
    </row>
    <row r="64" spans="1:18" x14ac:dyDescent="0.25">
      <c r="A64" s="53"/>
      <c r="B64" s="53"/>
      <c r="C64" s="53"/>
      <c r="D64" s="53"/>
      <c r="E64" s="53"/>
      <c r="F64" s="53"/>
      <c r="G64" s="53"/>
      <c r="H64" s="53"/>
      <c r="Q64" s="42" t="str">
        <f>"Total Sales :"&amp;TEXT(Q61,"#,##0;[Red]-#,##0")&amp;" lei"</f>
        <v>Total Sales :,0 lei</v>
      </c>
    </row>
    <row r="65" spans="1:17" x14ac:dyDescent="0.25">
      <c r="A65" s="53"/>
      <c r="B65" s="53"/>
      <c r="C65" s="53"/>
      <c r="D65" s="53"/>
      <c r="E65" s="53"/>
      <c r="F65" s="53"/>
      <c r="G65" s="53"/>
      <c r="H65" s="53"/>
    </row>
    <row r="66" spans="1:17" x14ac:dyDescent="0.25">
      <c r="A66" s="53" t="s">
        <v>178</v>
      </c>
      <c r="B66" s="53">
        <v>2017</v>
      </c>
      <c r="C66" s="53">
        <f>B66+1</f>
        <v>2018</v>
      </c>
      <c r="D66" s="53">
        <f t="shared" ref="D66:H66" si="30">C66+1</f>
        <v>2019</v>
      </c>
      <c r="E66" s="53">
        <f t="shared" si="30"/>
        <v>2020</v>
      </c>
      <c r="F66" s="53">
        <f t="shared" si="30"/>
        <v>2021</v>
      </c>
      <c r="G66" s="53">
        <f t="shared" si="30"/>
        <v>2022</v>
      </c>
      <c r="H66" s="53">
        <f t="shared" si="30"/>
        <v>2023</v>
      </c>
      <c r="Q66" s="42" t="str">
        <f>"Sales of finished products in "&amp;'2.Comprehensive income'!X24</f>
        <v xml:space="preserve">Sales of finished products in </v>
      </c>
    </row>
    <row r="67" spans="1:17" x14ac:dyDescent="0.25">
      <c r="A67" s="53" t="s">
        <v>205</v>
      </c>
      <c r="B67" s="81">
        <f>'2.Comprehensive income'!C37</f>
        <v>103347658.91</v>
      </c>
      <c r="C67" s="81">
        <f>'2.Comprehensive income'!D37</f>
        <v>101171874.89999998</v>
      </c>
      <c r="D67" s="81">
        <f>'2.Comprehensive income'!E37</f>
        <v>125387822.75</v>
      </c>
      <c r="E67" s="81">
        <f>'2.Comprehensive income'!F37</f>
        <v>127314643.90000001</v>
      </c>
      <c r="F67" s="81">
        <f>'2.Comprehensive income'!G37</f>
        <v>109074941.45000003</v>
      </c>
      <c r="G67" s="81">
        <f>'2.Comprehensive income'!H37</f>
        <v>117962247.67000003</v>
      </c>
      <c r="H67" s="81">
        <f>'2.Comprehensive income'!I37</f>
        <v>112705448.75</v>
      </c>
      <c r="I67" s="53">
        <f>IF(A67='2.Comprehensive income'!$X$34,1,0)</f>
        <v>0</v>
      </c>
    </row>
    <row r="68" spans="1:17" x14ac:dyDescent="0.25">
      <c r="A68" s="53" t="s">
        <v>206</v>
      </c>
      <c r="B68" s="81">
        <f>'2.Comprehensive income'!C38</f>
        <v>30961367.02</v>
      </c>
      <c r="C68" s="81">
        <f>'2.Comprehensive income'!D38</f>
        <v>23154618.529999994</v>
      </c>
      <c r="D68" s="81">
        <f>'2.Comprehensive income'!E38</f>
        <v>38271305.11999999</v>
      </c>
      <c r="E68" s="81">
        <f>'2.Comprehensive income'!F38</f>
        <v>46502131.649999984</v>
      </c>
      <c r="F68" s="81">
        <f>'2.Comprehensive income'!G38</f>
        <v>37905250.480000019</v>
      </c>
      <c r="G68" s="81">
        <f>'2.Comprehensive income'!H38</f>
        <v>34424642.269999996</v>
      </c>
      <c r="H68" s="81">
        <f>'2.Comprehensive income'!I38</f>
        <v>26256942.330000006</v>
      </c>
      <c r="I68" s="53">
        <f>IF(A68='2.Comprehensive income'!$X$34,1,0)</f>
        <v>1</v>
      </c>
    </row>
    <row r="69" spans="1:17" x14ac:dyDescent="0.25">
      <c r="A69" s="53" t="s">
        <v>207</v>
      </c>
      <c r="B69" s="81">
        <f>'2.Comprehensive income'!C39</f>
        <v>5607112.0099999998</v>
      </c>
      <c r="C69" s="81">
        <f>'2.Comprehensive income'!D39</f>
        <v>5512011.29</v>
      </c>
      <c r="D69" s="81">
        <f>'2.Comprehensive income'!E39</f>
        <v>5831907.4100000001</v>
      </c>
      <c r="E69" s="81">
        <f>'2.Comprehensive income'!F39</f>
        <v>9489499.3099999987</v>
      </c>
      <c r="F69" s="81">
        <f>'2.Comprehensive income'!G39</f>
        <v>6351216.3600000003</v>
      </c>
      <c r="G69" s="81">
        <f>'2.Comprehensive income'!H39</f>
        <v>6549172.9899999993</v>
      </c>
      <c r="H69" s="81">
        <f>'2.Comprehensive income'!I39</f>
        <v>6011589.6799999988</v>
      </c>
      <c r="I69" s="53">
        <f>IF(A69='2.Comprehensive income'!$X$34,1,0)</f>
        <v>0</v>
      </c>
    </row>
    <row r="70" spans="1:17" x14ac:dyDescent="0.25">
      <c r="A70" s="53" t="s">
        <v>196</v>
      </c>
      <c r="B70" s="81">
        <f>'2.Comprehensive income'!C40</f>
        <v>43941141.789999999</v>
      </c>
      <c r="C70" s="81">
        <f>'2.Comprehensive income'!D40</f>
        <v>51307967.540000007</v>
      </c>
      <c r="D70" s="81">
        <f>'2.Comprehensive income'!E40</f>
        <v>95246611.829999998</v>
      </c>
      <c r="E70" s="81">
        <f>'2.Comprehensive income'!F40</f>
        <v>79494779.260000005</v>
      </c>
      <c r="F70" s="81">
        <f>'2.Comprehensive income'!G40</f>
        <v>60899445.830000013</v>
      </c>
      <c r="G70" s="81">
        <f>'2.Comprehensive income'!H40</f>
        <v>66697771.480000004</v>
      </c>
      <c r="H70" s="81">
        <f>'2.Comprehensive income'!I40</f>
        <v>49462288.699999996</v>
      </c>
      <c r="I70" s="53">
        <f>IF(A70='2.Comprehensive income'!$X$34,1,0)</f>
        <v>0</v>
      </c>
    </row>
    <row r="71" spans="1:17" x14ac:dyDescent="0.25">
      <c r="A71" s="53"/>
      <c r="B71" s="81"/>
      <c r="C71" s="81"/>
      <c r="D71" s="81"/>
      <c r="E71" s="81"/>
      <c r="F71" s="81"/>
      <c r="G71" s="81"/>
      <c r="H71" s="82"/>
    </row>
    <row r="72" spans="1:17" x14ac:dyDescent="0.25">
      <c r="A72" s="53"/>
      <c r="B72" s="53"/>
      <c r="C72" s="53"/>
      <c r="D72" s="53"/>
      <c r="E72" s="53"/>
      <c r="F72" s="53"/>
      <c r="G72" s="53"/>
      <c r="H72" s="53"/>
    </row>
    <row r="73" spans="1:17" x14ac:dyDescent="0.25">
      <c r="A73" s="53"/>
      <c r="B73" s="53"/>
      <c r="C73" s="53"/>
      <c r="D73" s="53"/>
      <c r="E73" s="53"/>
      <c r="F73" s="53"/>
      <c r="G73" s="53"/>
      <c r="H73" s="53"/>
    </row>
    <row r="74" spans="1:17" x14ac:dyDescent="0.25">
      <c r="A74" s="53"/>
      <c r="B74" s="53"/>
      <c r="C74" s="53"/>
      <c r="D74" s="53"/>
      <c r="E74" s="53"/>
      <c r="F74" s="53"/>
      <c r="G74" s="53"/>
      <c r="H74" s="82"/>
    </row>
    <row r="75" spans="1:17" x14ac:dyDescent="0.25">
      <c r="A75" s="53" t="s">
        <v>178</v>
      </c>
      <c r="B75" s="53">
        <f>B66</f>
        <v>2017</v>
      </c>
      <c r="C75" s="53">
        <f t="shared" ref="C75:H75" si="31">C66</f>
        <v>2018</v>
      </c>
      <c r="D75" s="53">
        <f t="shared" si="31"/>
        <v>2019</v>
      </c>
      <c r="E75" s="53">
        <f t="shared" si="31"/>
        <v>2020</v>
      </c>
      <c r="F75" s="53">
        <f t="shared" si="31"/>
        <v>2021</v>
      </c>
      <c r="G75" s="53">
        <f t="shared" si="31"/>
        <v>2022</v>
      </c>
      <c r="H75" s="53">
        <f t="shared" si="31"/>
        <v>2023</v>
      </c>
    </row>
    <row r="76" spans="1:17" x14ac:dyDescent="0.25">
      <c r="A76" s="53"/>
      <c r="B76" s="81">
        <f>SUMPRODUCT(B67:B70,$I$67:$I$70)</f>
        <v>30961367.02</v>
      </c>
      <c r="C76" s="81">
        <f t="shared" ref="C76:H76" si="32">SUMPRODUCT(C67:C70,$I$67:$I$70)</f>
        <v>23154618.529999994</v>
      </c>
      <c r="D76" s="81">
        <f t="shared" si="32"/>
        <v>38271305.11999999</v>
      </c>
      <c r="E76" s="81">
        <f t="shared" si="32"/>
        <v>46502131.649999984</v>
      </c>
      <c r="F76" s="81">
        <f t="shared" si="32"/>
        <v>37905250.480000019</v>
      </c>
      <c r="G76" s="81">
        <f t="shared" si="32"/>
        <v>34424642.269999996</v>
      </c>
      <c r="H76" s="81">
        <f t="shared" si="32"/>
        <v>26256942.330000006</v>
      </c>
    </row>
    <row r="77" spans="1:17" x14ac:dyDescent="0.25">
      <c r="A77" s="53"/>
      <c r="B77" s="53"/>
      <c r="C77" s="53"/>
      <c r="D77" s="53"/>
      <c r="E77" s="53"/>
      <c r="F77" s="53"/>
      <c r="G77" s="53"/>
      <c r="H77" s="82">
        <f>H76/B76-1</f>
        <v>-0.15194499283449259</v>
      </c>
    </row>
    <row r="78" spans="1:17" x14ac:dyDescent="0.25">
      <c r="A78" s="53"/>
      <c r="B78" s="53"/>
      <c r="C78" s="82">
        <f>C76/B76-1</f>
        <v>-0.25214482567766172</v>
      </c>
      <c r="D78" s="82">
        <f t="shared" ref="D78:H78" si="33">D76/C76-1</f>
        <v>0.65285837339165176</v>
      </c>
      <c r="E78" s="82">
        <f t="shared" si="33"/>
        <v>0.21506521672548584</v>
      </c>
      <c r="F78" s="82">
        <f t="shared" si="33"/>
        <v>-0.18487069011598667</v>
      </c>
      <c r="G78" s="82">
        <f t="shared" si="33"/>
        <v>-9.1823907398699278E-2</v>
      </c>
      <c r="H78" s="82">
        <f t="shared" si="33"/>
        <v>-0.23726317548745846</v>
      </c>
    </row>
    <row r="79" spans="1:17" x14ac:dyDescent="0.25">
      <c r="A79" s="53"/>
      <c r="B79" s="53"/>
      <c r="C79" s="53"/>
      <c r="D79" s="53"/>
      <c r="E79" s="53"/>
      <c r="F79" s="53"/>
      <c r="G79" s="53"/>
      <c r="H79" s="53"/>
    </row>
    <row r="80" spans="1:17" x14ac:dyDescent="0.25">
      <c r="A80" s="53"/>
      <c r="B80" s="53"/>
      <c r="C80" s="53"/>
      <c r="D80" s="53"/>
      <c r="E80" s="53"/>
      <c r="F80" s="53"/>
      <c r="G80" s="53"/>
      <c r="H80" s="53"/>
    </row>
    <row r="81" spans="1:9" x14ac:dyDescent="0.25">
      <c r="A81" s="53"/>
      <c r="B81" s="53"/>
      <c r="C81" s="53"/>
      <c r="D81" s="53"/>
      <c r="E81" s="53"/>
      <c r="F81" s="53"/>
      <c r="G81" s="53"/>
      <c r="H81" s="82"/>
    </row>
    <row r="82" spans="1:9" x14ac:dyDescent="0.25">
      <c r="B82" s="46">
        <f>B9</f>
        <v>2019</v>
      </c>
      <c r="C82" s="46">
        <f t="shared" ref="C82:H82" si="34">C9</f>
        <v>2020</v>
      </c>
      <c r="D82" s="46">
        <f t="shared" si="34"/>
        <v>2021</v>
      </c>
      <c r="E82" s="46">
        <f t="shared" si="34"/>
        <v>2022</v>
      </c>
      <c r="F82" s="46">
        <f t="shared" si="34"/>
        <v>2023</v>
      </c>
      <c r="G82" s="46">
        <f t="shared" si="34"/>
        <v>2024</v>
      </c>
      <c r="H82" s="46">
        <f t="shared" si="34"/>
        <v>2025</v>
      </c>
      <c r="I82" s="46"/>
    </row>
    <row r="83" spans="1:9" x14ac:dyDescent="0.25">
      <c r="A83" s="45" t="str">
        <f>A10</f>
        <v>Total non-current assets</v>
      </c>
      <c r="B83" s="68">
        <f>B10/B$86</f>
        <v>0.66402773545916127</v>
      </c>
      <c r="C83" s="68">
        <f t="shared" ref="C83:H83" si="35">C10/C$86</f>
        <v>0.66096895005440959</v>
      </c>
      <c r="D83" s="68">
        <f t="shared" si="35"/>
        <v>0.56701448515870667</v>
      </c>
      <c r="E83" s="68">
        <f t="shared" si="35"/>
        <v>0.47600640384382881</v>
      </c>
      <c r="F83" s="68">
        <f t="shared" si="35"/>
        <v>0.49323853214665442</v>
      </c>
      <c r="G83" s="68">
        <f t="shared" si="35"/>
        <v>0.53332059183482727</v>
      </c>
      <c r="H83" s="68">
        <f t="shared" si="35"/>
        <v>0.53953342443848351</v>
      </c>
      <c r="I83" s="47"/>
    </row>
    <row r="84" spans="1:9" x14ac:dyDescent="0.25">
      <c r="A84" s="45" t="str">
        <f>A11</f>
        <v>Total current assets</v>
      </c>
      <c r="B84" s="68">
        <f>B11/B$86</f>
        <v>0.33597226454083884</v>
      </c>
      <c r="C84" s="68">
        <f t="shared" ref="C84:H84" si="36">C11/C$86</f>
        <v>0.33903104994559041</v>
      </c>
      <c r="D84" s="68">
        <f t="shared" si="36"/>
        <v>0.43298551484129338</v>
      </c>
      <c r="E84" s="68">
        <f t="shared" si="36"/>
        <v>0.52399359615617125</v>
      </c>
      <c r="F84" s="68">
        <f t="shared" si="36"/>
        <v>0.50676146785334553</v>
      </c>
      <c r="G84" s="68">
        <f t="shared" si="36"/>
        <v>0.46667940816517267</v>
      </c>
      <c r="H84" s="68">
        <f t="shared" si="36"/>
        <v>0.46046657556151649</v>
      </c>
      <c r="I84" s="47"/>
    </row>
    <row r="86" spans="1:9" x14ac:dyDescent="0.25">
      <c r="B86" s="55">
        <f>B10+B11</f>
        <v>246194904.51999998</v>
      </c>
      <c r="C86" s="55">
        <f t="shared" ref="C86:H86" si="37">C10+C11</f>
        <v>231354180.93000001</v>
      </c>
      <c r="D86" s="55">
        <f t="shared" si="37"/>
        <v>244022870</v>
      </c>
      <c r="E86" s="55">
        <f t="shared" si="37"/>
        <v>280067417</v>
      </c>
      <c r="F86" s="55">
        <f t="shared" si="37"/>
        <v>241134253</v>
      </c>
      <c r="G86" s="55">
        <f t="shared" si="37"/>
        <v>236984161</v>
      </c>
      <c r="H86" s="55">
        <f t="shared" si="37"/>
        <v>239241506</v>
      </c>
    </row>
    <row r="90" spans="1:9" x14ac:dyDescent="0.25">
      <c r="A90" s="42" t="str">
        <f>"Total "&amp;Charts!N2</f>
        <v>Total Assets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X39"/>
  <sheetViews>
    <sheetView zoomScale="82" zoomScaleNormal="82" workbookViewId="0">
      <selection activeCell="AD20" sqref="AD20"/>
    </sheetView>
  </sheetViews>
  <sheetFormatPr defaultColWidth="9.140625" defaultRowHeight="15" x14ac:dyDescent="0.25"/>
  <cols>
    <col min="1" max="1" width="5.5703125" style="93" customWidth="1"/>
    <col min="2" max="6" width="9.140625" style="93"/>
    <col min="7" max="7" width="15.5703125" style="93" customWidth="1"/>
    <col min="8" max="8" width="9.140625" style="93"/>
    <col min="9" max="9" width="1.140625" style="93" customWidth="1"/>
    <col min="10" max="16" width="9.140625" style="93"/>
    <col min="17" max="17" width="3.5703125" style="93" customWidth="1"/>
    <col min="18" max="16384" width="9.140625" style="93"/>
  </cols>
  <sheetData>
    <row r="1" spans="2:20" ht="8.25" customHeight="1" x14ac:dyDescent="0.25"/>
    <row r="2" spans="2:20" x14ac:dyDescent="0.25">
      <c r="B2" s="231" t="s">
        <v>157</v>
      </c>
      <c r="C2" s="231"/>
      <c r="D2" s="231"/>
      <c r="E2" s="231"/>
      <c r="F2" s="232" t="s">
        <v>3</v>
      </c>
      <c r="G2" s="232"/>
      <c r="H2" s="232"/>
      <c r="I2" s="94"/>
      <c r="J2" s="230" t="s">
        <v>170</v>
      </c>
      <c r="K2" s="230"/>
      <c r="L2" s="230"/>
      <c r="M2" s="230"/>
      <c r="N2" s="229" t="s">
        <v>160</v>
      </c>
      <c r="O2" s="229"/>
      <c r="P2" s="94"/>
      <c r="Q2" s="94"/>
      <c r="R2" s="230" t="s">
        <v>164</v>
      </c>
      <c r="S2" s="230"/>
      <c r="T2" s="192">
        <v>2025</v>
      </c>
    </row>
    <row r="3" spans="2:20" x14ac:dyDescent="0.25">
      <c r="B3" s="231" t="s">
        <v>158</v>
      </c>
      <c r="C3" s="231"/>
      <c r="D3" s="231"/>
      <c r="E3" s="231"/>
      <c r="F3" s="232" t="s">
        <v>5</v>
      </c>
      <c r="G3" s="232"/>
      <c r="H3" s="232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0" ht="5.25" customHeight="1" x14ac:dyDescent="0.25"/>
    <row r="19" spans="2:24" ht="9" customHeight="1" x14ac:dyDescent="0.25"/>
    <row r="20" spans="2:24" s="95" customFormat="1" ht="15.75" x14ac:dyDescent="0.25">
      <c r="B20" s="234" t="s">
        <v>170</v>
      </c>
      <c r="C20" s="234"/>
      <c r="D20" s="234"/>
      <c r="E20" s="234"/>
      <c r="F20" s="235" t="s">
        <v>167</v>
      </c>
      <c r="G20" s="235"/>
      <c r="H20" s="235"/>
      <c r="O20" s="234" t="s">
        <v>170</v>
      </c>
      <c r="P20" s="234"/>
      <c r="Q20" s="234"/>
      <c r="R20" s="234"/>
      <c r="S20" s="233" t="s">
        <v>5</v>
      </c>
      <c r="T20" s="233"/>
      <c r="U20" s="233"/>
      <c r="V20" s="233"/>
      <c r="W20" s="233"/>
      <c r="X20" s="233"/>
    </row>
    <row r="21" spans="2:24" ht="16.5" customHeight="1" x14ac:dyDescent="0.25">
      <c r="B21" s="234" t="s">
        <v>164</v>
      </c>
      <c r="C21" s="234"/>
      <c r="D21" s="234"/>
      <c r="E21" s="234"/>
      <c r="F21" s="229">
        <v>2025</v>
      </c>
      <c r="G21" s="229"/>
      <c r="H21" s="229"/>
    </row>
    <row r="39" spans="2:2" x14ac:dyDescent="0.25">
      <c r="B39" s="93" t="s">
        <v>65</v>
      </c>
    </row>
  </sheetData>
  <mergeCells count="13">
    <mergeCell ref="S20:X20"/>
    <mergeCell ref="B21:E21"/>
    <mergeCell ref="F21:H21"/>
    <mergeCell ref="B20:E20"/>
    <mergeCell ref="F20:H20"/>
    <mergeCell ref="O20:R20"/>
    <mergeCell ref="R2:S2"/>
    <mergeCell ref="B2:E2"/>
    <mergeCell ref="B3:E3"/>
    <mergeCell ref="J2:M2"/>
    <mergeCell ref="N2:O2"/>
    <mergeCell ref="F2:H2"/>
    <mergeCell ref="F3:H3"/>
  </mergeCells>
  <dataValidations count="4">
    <dataValidation type="list" allowBlank="1" showInputMessage="1" showErrorMessage="1" sqref="F2:F3 S20" xr:uid="{3E6CC772-2AAB-4AD0-A3D6-39532E581268}">
      <formula1>List1</formula1>
    </dataValidation>
    <dataValidation type="list" allowBlank="1" showInputMessage="1" showErrorMessage="1" sqref="N2:O2" xr:uid="{3D62F296-CEC4-4A85-A2D7-B4EEB2B274B5}">
      <formula1>List2</formula1>
    </dataValidation>
    <dataValidation type="list" allowBlank="1" showInputMessage="1" showErrorMessage="1" sqref="F20" xr:uid="{EBC18753-CD2B-4717-AE19-6F1D8CEF1D72}">
      <formula1>List3</formula1>
    </dataValidation>
    <dataValidation type="list" allowBlank="1" showInputMessage="1" showErrorMessage="1" sqref="F21:H21 T2" xr:uid="{2995F19A-5709-42F1-AD1F-C9C75009E6FF}">
      <formula1>"2025,2024,2023,2022,2021,2020,2019"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showGridLines="0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9" sqref="M29"/>
    </sheetView>
  </sheetViews>
  <sheetFormatPr defaultColWidth="9.140625" defaultRowHeight="15" x14ac:dyDescent="0.25"/>
  <cols>
    <col min="1" max="2" width="40.140625" style="1" customWidth="1"/>
    <col min="3" max="3" width="11.85546875" style="1" bestFit="1" customWidth="1"/>
    <col min="4" max="4" width="12.140625" style="1" bestFit="1" customWidth="1"/>
    <col min="5" max="5" width="12" style="1" bestFit="1" customWidth="1"/>
    <col min="6" max="8" width="11.85546875" style="1" bestFit="1" customWidth="1"/>
    <col min="9" max="9" width="12" style="1" bestFit="1" customWidth="1"/>
    <col min="10" max="16384" width="9.140625" style="1"/>
  </cols>
  <sheetData>
    <row r="1" spans="1:9" ht="15.75" thickBot="1" x14ac:dyDescent="0.3">
      <c r="I1" s="53" t="s">
        <v>259</v>
      </c>
    </row>
    <row r="2" spans="1:9" s="40" customFormat="1" ht="29.25" customHeight="1" thickBot="1" x14ac:dyDescent="0.3">
      <c r="A2" s="181" t="s">
        <v>0</v>
      </c>
      <c r="B2" s="181" t="s">
        <v>0</v>
      </c>
      <c r="C2" s="182">
        <v>2019</v>
      </c>
      <c r="D2" s="182">
        <f>C2+1</f>
        <v>2020</v>
      </c>
      <c r="E2" s="182">
        <f t="shared" ref="E2:I2" si="0">D2+1</f>
        <v>2021</v>
      </c>
      <c r="F2" s="182">
        <f t="shared" si="0"/>
        <v>2022</v>
      </c>
      <c r="G2" s="182">
        <f t="shared" si="0"/>
        <v>2023</v>
      </c>
      <c r="H2" s="182">
        <f t="shared" si="0"/>
        <v>2024</v>
      </c>
      <c r="I2" s="182">
        <f t="shared" si="0"/>
        <v>2025</v>
      </c>
    </row>
    <row r="3" spans="1:9" x14ac:dyDescent="0.25">
      <c r="A3" s="12" t="s">
        <v>101</v>
      </c>
      <c r="B3" s="12" t="s">
        <v>135</v>
      </c>
      <c r="C3" s="12">
        <f>'2.Comprehensive income'!C19</f>
        <v>370097.9599999818</v>
      </c>
      <c r="D3" s="12">
        <f>'2.Comprehensive income'!D19</f>
        <v>869105.43999996176</v>
      </c>
      <c r="E3" s="12">
        <f>'2.Comprehensive income'!E19</f>
        <v>-1447458</v>
      </c>
      <c r="F3" s="12">
        <f>'2.Comprehensive income'!F19</f>
        <v>51471690</v>
      </c>
      <c r="G3" s="12">
        <f>'2.Comprehensive income'!G19</f>
        <v>3313809</v>
      </c>
      <c r="H3" s="12">
        <f>'2.Comprehensive income'!H19</f>
        <v>-5992980</v>
      </c>
      <c r="I3" s="193">
        <f>'2.Comprehensive income'!I19</f>
        <v>1776808</v>
      </c>
    </row>
    <row r="4" spans="1:9" x14ac:dyDescent="0.25">
      <c r="A4" s="12" t="s">
        <v>102</v>
      </c>
      <c r="B4" s="12" t="s">
        <v>136</v>
      </c>
      <c r="C4" s="12">
        <f>-'2.Comprehensive income'!C18</f>
        <v>217442</v>
      </c>
      <c r="D4" s="12">
        <f>-'2.Comprehensive income'!D18</f>
        <v>238297</v>
      </c>
      <c r="E4" s="12">
        <f>-'2.Comprehensive income'!E18</f>
        <v>889087</v>
      </c>
      <c r="F4" s="12">
        <f>-'2.Comprehensive income'!F18</f>
        <v>912071</v>
      </c>
      <c r="G4" s="12">
        <f>-'2.Comprehensive income'!G18</f>
        <v>182523</v>
      </c>
      <c r="H4" s="12">
        <f>-'2.Comprehensive income'!H18</f>
        <v>-1653756</v>
      </c>
      <c r="I4" s="193">
        <f>-'2.Comprehensive income'!I18</f>
        <v>0</v>
      </c>
    </row>
    <row r="5" spans="1:9" x14ac:dyDescent="0.25">
      <c r="A5" s="12" t="s">
        <v>103</v>
      </c>
      <c r="B5" s="12" t="s">
        <v>137</v>
      </c>
      <c r="C5" s="12">
        <v>1472607.34</v>
      </c>
      <c r="D5" s="12">
        <v>1159858</v>
      </c>
      <c r="E5" s="12">
        <v>953055</v>
      </c>
      <c r="F5" s="12">
        <v>1286399</v>
      </c>
      <c r="G5" s="12">
        <v>1807462</v>
      </c>
      <c r="H5" s="12">
        <v>2254405</v>
      </c>
      <c r="I5" s="193">
        <v>2285295</v>
      </c>
    </row>
    <row r="6" spans="1:9" x14ac:dyDescent="0.25">
      <c r="A6" s="34" t="s">
        <v>95</v>
      </c>
      <c r="B6" s="34" t="s">
        <v>95</v>
      </c>
      <c r="C6" s="34">
        <f t="shared" ref="C6" si="1">C3+C4+C5</f>
        <v>2060147.2999999819</v>
      </c>
      <c r="D6" s="34">
        <f t="shared" ref="D6:I6" si="2">D3+D4+D5</f>
        <v>2267260.4399999618</v>
      </c>
      <c r="E6" s="34">
        <f t="shared" si="2"/>
        <v>394684</v>
      </c>
      <c r="F6" s="34">
        <f t="shared" si="2"/>
        <v>53670160</v>
      </c>
      <c r="G6" s="34">
        <f t="shared" si="2"/>
        <v>5303794</v>
      </c>
      <c r="H6" s="34">
        <f t="shared" si="2"/>
        <v>-5392331</v>
      </c>
      <c r="I6" s="194">
        <f t="shared" si="2"/>
        <v>4062103</v>
      </c>
    </row>
    <row r="7" spans="1:9" x14ac:dyDescent="0.25">
      <c r="A7" s="12" t="s">
        <v>104</v>
      </c>
      <c r="B7" s="12" t="s">
        <v>138</v>
      </c>
      <c r="C7" s="12">
        <v>10634489.470000001</v>
      </c>
      <c r="D7" s="12">
        <v>10202833</v>
      </c>
      <c r="E7" s="12">
        <v>9977583</v>
      </c>
      <c r="F7" s="12">
        <v>9609158</v>
      </c>
      <c r="G7" s="12">
        <v>9392805</v>
      </c>
      <c r="H7" s="12">
        <v>9829769</v>
      </c>
      <c r="I7" s="193">
        <v>9083643</v>
      </c>
    </row>
    <row r="8" spans="1:9" x14ac:dyDescent="0.25">
      <c r="A8" s="12" t="s">
        <v>105</v>
      </c>
      <c r="B8" s="12" t="s">
        <v>139</v>
      </c>
      <c r="C8" s="12">
        <v>2275212.77</v>
      </c>
      <c r="D8" s="12">
        <v>2262431</v>
      </c>
      <c r="E8" s="12">
        <v>2259451</v>
      </c>
      <c r="F8" s="12">
        <v>2206664</v>
      </c>
      <c r="G8" s="12">
        <v>2113978</v>
      </c>
      <c r="H8" s="12">
        <v>1839055</v>
      </c>
      <c r="I8" s="193">
        <v>1517554</v>
      </c>
    </row>
    <row r="9" spans="1:9" x14ac:dyDescent="0.25">
      <c r="A9" s="34" t="s">
        <v>71</v>
      </c>
      <c r="B9" s="34" t="s">
        <v>71</v>
      </c>
      <c r="C9" s="34">
        <f t="shared" ref="C9" si="3">C6+C7-C8</f>
        <v>10419423.999999983</v>
      </c>
      <c r="D9" s="34">
        <f t="shared" ref="D9:H9" si="4">D6+D7-D8</f>
        <v>10207662.439999962</v>
      </c>
      <c r="E9" s="34">
        <f t="shared" si="4"/>
        <v>8112816</v>
      </c>
      <c r="F9" s="34">
        <f t="shared" si="4"/>
        <v>61072654</v>
      </c>
      <c r="G9" s="34">
        <f t="shared" si="4"/>
        <v>12582621</v>
      </c>
      <c r="H9" s="34">
        <f t="shared" si="4"/>
        <v>2598383</v>
      </c>
      <c r="I9" s="194">
        <f>I6+I7-I8</f>
        <v>11628192</v>
      </c>
    </row>
    <row r="12" spans="1:9" x14ac:dyDescent="0.25">
      <c r="A12" s="1" t="s">
        <v>156</v>
      </c>
    </row>
    <row r="14" spans="1:9" x14ac:dyDescent="0.25">
      <c r="A14" s="1" t="s">
        <v>65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Contents</vt:lpstr>
      <vt:lpstr>Snapshots</vt:lpstr>
      <vt:lpstr>1.FinancialPosition</vt:lpstr>
      <vt:lpstr>2.Comprehensive income</vt:lpstr>
      <vt:lpstr>3.Statement of cash flow</vt:lpstr>
      <vt:lpstr>4.Financial ratios</vt:lpstr>
      <vt:lpstr>hiddenPage</vt:lpstr>
      <vt:lpstr>Charts</vt:lpstr>
      <vt:lpstr>EBIT-EBITDA</vt:lpstr>
      <vt:lpstr>List1</vt:lpstr>
      <vt:lpstr>List2</vt:lpstr>
      <vt:lpstr>List3</vt:lpstr>
      <vt:lpstr>list9</vt:lpstr>
      <vt:lpstr>Selection1</vt:lpstr>
      <vt:lpstr>Selection2</vt:lpstr>
      <vt:lpstr>Selection3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2026-02-26T15:04:02Z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2020-02-12T06:31:51.2407510Z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655dda9b-06d6-40ed-9ecb-094885721513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