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3" documentId="8_{1102FA6A-318A-4F8B-AC02-2C375BFC08FB}" xr6:coauthVersionLast="47" xr6:coauthVersionMax="47" xr10:uidLastSave="{EE747351-74B5-48F7-8C91-126052DEBD41}"/>
  <bookViews>
    <workbookView xWindow="-120" yWindow="-120" windowWidth="29040" windowHeight="15720" tabRatio="871" xr2:uid="{00000000-000D-0000-FFFF-FFFF00000000}"/>
  </bookViews>
  <sheets>
    <sheet name="Contents" sheetId="6" r:id="rId1"/>
    <sheet name="hiddenPage" sheetId="10" state="hidden" r:id="rId2"/>
    <sheet name="Snapshots" sheetId="8" r:id="rId3"/>
    <sheet name="1.FinancialPosition" sheetId="1" r:id="rId4"/>
    <sheet name="2.Comprehensive income" sheetId="2" r:id="rId5"/>
    <sheet name="3.Statement of cash flow" sheetId="7" r:id="rId6"/>
    <sheet name="4.Financial ratios" sheetId="3" r:id="rId7"/>
    <sheet name="Charts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IF(hiddenPage!$J$25=4,Selection3,IF(hiddenPage!$J$25=5,Selection2,Selection1))</definedName>
    <definedName name="List1">hiddenPage!$L$3:$L$10</definedName>
    <definedName name="List2">hiddenPage!$N$3:$N$6</definedName>
    <definedName name="List3">hiddenPage!$X$3:$X$7</definedName>
    <definedName name="Selection1">hiddenPage!$A$25:$G$30</definedName>
    <definedName name="Selection2">hiddenPage!$A$25:$G$29</definedName>
    <definedName name="Selection3">hiddenPage!$A$25:$G$28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G30" i="2"/>
  <c r="F30" i="2"/>
  <c r="E30" i="2"/>
  <c r="D30" i="2"/>
  <c r="C30" i="2"/>
  <c r="F28" i="2"/>
  <c r="F29" i="2" s="1"/>
  <c r="E28" i="2"/>
  <c r="E29" i="2" s="1"/>
  <c r="D28" i="2"/>
  <c r="D29" i="2" s="1"/>
  <c r="C28" i="2"/>
  <c r="C29" i="2" s="1"/>
  <c r="G24" i="2"/>
  <c r="G73" i="7" s="1"/>
  <c r="F24" i="2"/>
  <c r="E24" i="2"/>
  <c r="D24" i="2"/>
  <c r="C24" i="2"/>
  <c r="E19" i="2"/>
  <c r="E21" i="2" s="1"/>
  <c r="D19" i="2"/>
  <c r="D21" i="2" s="1"/>
  <c r="C19" i="2"/>
  <c r="C21" i="2" s="1"/>
  <c r="G12" i="2"/>
  <c r="G19" i="2" s="1"/>
  <c r="G21" i="2" s="1"/>
  <c r="F12" i="2"/>
  <c r="F19" i="2" s="1"/>
  <c r="F21" i="2" s="1"/>
  <c r="E12" i="2"/>
  <c r="D12" i="2"/>
  <c r="C12" i="2"/>
  <c r="G37" i="1"/>
  <c r="G38" i="1" s="1"/>
  <c r="F37" i="1"/>
  <c r="F38" i="1" s="1"/>
  <c r="F39" i="1" s="1"/>
  <c r="E37" i="1"/>
  <c r="E38" i="1" s="1"/>
  <c r="E39" i="1" s="1"/>
  <c r="D37" i="1"/>
  <c r="D38" i="1" s="1"/>
  <c r="D39" i="1" s="1"/>
  <c r="C37" i="1"/>
  <c r="C38" i="1" s="1"/>
  <c r="C39" i="1" s="1"/>
  <c r="G32" i="1"/>
  <c r="H32" i="1" s="1"/>
  <c r="F32" i="1"/>
  <c r="E32" i="1"/>
  <c r="G26" i="1"/>
  <c r="F26" i="1"/>
  <c r="E26" i="1"/>
  <c r="D26" i="1"/>
  <c r="C26" i="1"/>
  <c r="G19" i="1"/>
  <c r="H27" i="1" s="1"/>
  <c r="F19" i="1"/>
  <c r="G18" i="1"/>
  <c r="H18" i="1" s="1"/>
  <c r="F18" i="1"/>
  <c r="E18" i="1"/>
  <c r="E19" i="1" s="1"/>
  <c r="D18" i="1"/>
  <c r="D19" i="1" s="1"/>
  <c r="C18" i="1"/>
  <c r="H12" i="1"/>
  <c r="G11" i="1"/>
  <c r="F11" i="1"/>
  <c r="E11" i="1"/>
  <c r="D11" i="1"/>
  <c r="C11" i="1"/>
  <c r="C19" i="1" s="1"/>
  <c r="K30" i="1"/>
  <c r="J30" i="1"/>
  <c r="I30" i="1"/>
  <c r="K35" i="1"/>
  <c r="J35" i="1"/>
  <c r="I35" i="1"/>
  <c r="D73" i="7"/>
  <c r="E73" i="7"/>
  <c r="F73" i="7"/>
  <c r="C73" i="7"/>
  <c r="D72" i="7"/>
  <c r="E72" i="7"/>
  <c r="F72" i="7"/>
  <c r="G72" i="7"/>
  <c r="C72" i="7"/>
  <c r="G64" i="7"/>
  <c r="F64" i="7"/>
  <c r="E64" i="7"/>
  <c r="D64" i="7"/>
  <c r="C64" i="7"/>
  <c r="G59" i="7"/>
  <c r="F59" i="7"/>
  <c r="E59" i="7"/>
  <c r="D59" i="7"/>
  <c r="C59" i="7"/>
  <c r="C44" i="7"/>
  <c r="D42" i="7"/>
  <c r="D65" i="7" s="1"/>
  <c r="C42" i="7"/>
  <c r="C65" i="7" s="1"/>
  <c r="G38" i="7"/>
  <c r="G42" i="7" s="1"/>
  <c r="F38" i="7"/>
  <c r="F42" i="7" s="1"/>
  <c r="E38" i="7"/>
  <c r="E42" i="7" s="1"/>
  <c r="D38" i="7"/>
  <c r="C38" i="7"/>
  <c r="G28" i="2" l="1"/>
  <c r="G29" i="2" s="1"/>
  <c r="G39" i="1"/>
  <c r="H39" i="1" s="1"/>
  <c r="H38" i="1"/>
  <c r="H19" i="1"/>
  <c r="H14" i="1"/>
  <c r="H37" i="1"/>
  <c r="H31" i="1"/>
  <c r="H4" i="1"/>
  <c r="H15" i="1"/>
  <c r="H5" i="1"/>
  <c r="H8" i="1"/>
  <c r="H28" i="1"/>
  <c r="H17" i="1"/>
  <c r="H7" i="1"/>
  <c r="H10" i="1"/>
  <c r="H33" i="1"/>
  <c r="H16" i="1"/>
  <c r="H6" i="1"/>
  <c r="H23" i="1"/>
  <c r="H24" i="1"/>
  <c r="H34" i="1"/>
  <c r="H9" i="1"/>
  <c r="H35" i="1"/>
  <c r="H11" i="1"/>
  <c r="H29" i="1"/>
  <c r="H13" i="1"/>
  <c r="H30" i="1"/>
  <c r="H20" i="1"/>
  <c r="H21" i="1"/>
  <c r="H22" i="1"/>
  <c r="H36" i="1"/>
  <c r="H25" i="1"/>
  <c r="H26" i="1"/>
  <c r="C69" i="7"/>
  <c r="C67" i="7"/>
  <c r="E65" i="7"/>
  <c r="D67" i="7"/>
  <c r="F65" i="7"/>
  <c r="G65" i="7"/>
  <c r="J18" i="2"/>
  <c r="I18" i="2"/>
  <c r="H18" i="2"/>
  <c r="J17" i="2"/>
  <c r="I17" i="2"/>
  <c r="H17" i="2"/>
  <c r="H14" i="2"/>
  <c r="I14" i="2"/>
  <c r="J14" i="2"/>
  <c r="D32" i="10"/>
  <c r="G52" i="2"/>
  <c r="G54" i="2" s="1"/>
  <c r="F52" i="2"/>
  <c r="F54" i="2" s="1"/>
  <c r="E52" i="2"/>
  <c r="E54" i="2" s="1"/>
  <c r="D52" i="2"/>
  <c r="D54" i="2" s="1"/>
  <c r="C52" i="2"/>
  <c r="C54" i="2" s="1"/>
  <c r="G39" i="2"/>
  <c r="G41" i="2" s="1"/>
  <c r="F39" i="2"/>
  <c r="F41" i="2" s="1"/>
  <c r="E39" i="2"/>
  <c r="E41" i="2" s="1"/>
  <c r="D39" i="2"/>
  <c r="D41" i="2" s="1"/>
  <c r="C39" i="2"/>
  <c r="C41" i="2" s="1"/>
  <c r="F67" i="7" l="1"/>
  <c r="G67" i="7"/>
  <c r="E67" i="7"/>
  <c r="D68" i="7"/>
  <c r="D69" i="7" s="1"/>
  <c r="G31" i="2"/>
  <c r="C31" i="2"/>
  <c r="D31" i="2"/>
  <c r="E31" i="2"/>
  <c r="F31" i="2"/>
  <c r="E68" i="7" l="1"/>
  <c r="E69" i="7" s="1"/>
  <c r="D3" i="1"/>
  <c r="E3" i="1" s="1"/>
  <c r="F3" i="1" s="1"/>
  <c r="G3" i="1" s="1"/>
  <c r="D3" i="2"/>
  <c r="E3" i="2" s="1"/>
  <c r="F3" i="2" s="1"/>
  <c r="G3" i="2" s="1"/>
  <c r="F68" i="7" l="1"/>
  <c r="F69" i="7" s="1"/>
  <c r="C57" i="2"/>
  <c r="G68" i="7" l="1"/>
  <c r="G69" i="7" s="1"/>
  <c r="D3" i="3"/>
  <c r="A44" i="10"/>
  <c r="A45" i="10" s="1"/>
  <c r="A46" i="10" s="1"/>
  <c r="L53" i="10" l="1"/>
  <c r="L54" i="10" s="1"/>
  <c r="L55" i="10" s="1"/>
  <c r="K8" i="8" l="1"/>
  <c r="J8" i="8"/>
  <c r="I8" i="8"/>
  <c r="H5" i="8"/>
  <c r="G5" i="8"/>
  <c r="F5" i="8"/>
  <c r="E5" i="8"/>
  <c r="D5" i="8"/>
  <c r="H6" i="8"/>
  <c r="G6" i="8"/>
  <c r="F6" i="8"/>
  <c r="E6" i="8"/>
  <c r="D6" i="8"/>
  <c r="J16" i="2" l="1"/>
  <c r="I16" i="2"/>
  <c r="H16" i="2"/>
  <c r="J15" i="2"/>
  <c r="I15" i="2"/>
  <c r="H15" i="2"/>
  <c r="J13" i="2"/>
  <c r="I13" i="2"/>
  <c r="H13" i="2"/>
  <c r="G3" i="8" l="1"/>
  <c r="I6" i="8"/>
  <c r="J6" i="8"/>
  <c r="K28" i="1"/>
  <c r="J15" i="1"/>
  <c r="I15" i="1"/>
  <c r="K13" i="1"/>
  <c r="A66" i="10"/>
  <c r="E3" i="8"/>
  <c r="F3" i="8"/>
  <c r="D3" i="8"/>
  <c r="J10" i="2"/>
  <c r="I10" i="2"/>
  <c r="H10" i="2"/>
  <c r="J9" i="2"/>
  <c r="I9" i="2"/>
  <c r="H9" i="2"/>
  <c r="J8" i="2"/>
  <c r="I8" i="2"/>
  <c r="H8" i="2"/>
  <c r="J7" i="2"/>
  <c r="I7" i="2"/>
  <c r="H7" i="2"/>
  <c r="C3" i="5" l="1"/>
  <c r="F3" i="5"/>
  <c r="E3" i="5"/>
  <c r="D3" i="5"/>
  <c r="E3" i="3"/>
  <c r="F3" i="3" s="1"/>
  <c r="G3" i="3" s="1"/>
  <c r="H3" i="3" s="1"/>
  <c r="D45" i="2"/>
  <c r="E45" i="2"/>
  <c r="F45" i="2"/>
  <c r="G45" i="2"/>
  <c r="C45" i="2"/>
  <c r="L45" i="2" s="1"/>
  <c r="D34" i="2"/>
  <c r="M34" i="2" s="1"/>
  <c r="E34" i="2"/>
  <c r="N34" i="2" s="1"/>
  <c r="F34" i="2"/>
  <c r="O34" i="2" s="1"/>
  <c r="G34" i="2"/>
  <c r="P34" i="2" s="1"/>
  <c r="C34" i="2"/>
  <c r="L34" i="2" s="1"/>
  <c r="E16" i="8"/>
  <c r="D16" i="8"/>
  <c r="H3" i="8" l="1"/>
  <c r="G3" i="5" s="1"/>
  <c r="L46" i="2"/>
  <c r="N47" i="2"/>
  <c r="N52" i="2"/>
  <c r="N50" i="2"/>
  <c r="N48" i="2"/>
  <c r="N46" i="2"/>
  <c r="N51" i="2"/>
  <c r="N49" i="2"/>
  <c r="O50" i="2"/>
  <c r="O48" i="2"/>
  <c r="O49" i="2"/>
  <c r="O52" i="2"/>
  <c r="O46" i="2"/>
  <c r="O47" i="2"/>
  <c r="O51" i="2"/>
  <c r="M50" i="2"/>
  <c r="M48" i="2"/>
  <c r="M47" i="2"/>
  <c r="M51" i="2"/>
  <c r="M46" i="2"/>
  <c r="M52" i="2"/>
  <c r="M49" i="2"/>
  <c r="M36" i="2"/>
  <c r="M35" i="2"/>
  <c r="M40" i="2"/>
  <c r="M38" i="2"/>
  <c r="M37" i="2"/>
  <c r="D57" i="2"/>
  <c r="M39" i="2"/>
  <c r="F57" i="2"/>
  <c r="O37" i="2"/>
  <c r="O40" i="2"/>
  <c r="O38" i="2"/>
  <c r="O35" i="2"/>
  <c r="O39" i="2"/>
  <c r="O36" i="2"/>
  <c r="N40" i="2"/>
  <c r="N38" i="2"/>
  <c r="N37" i="2"/>
  <c r="N35" i="2"/>
  <c r="N36" i="2"/>
  <c r="E57" i="2"/>
  <c r="N39" i="2"/>
  <c r="L35" i="2"/>
  <c r="C42" i="2"/>
  <c r="F40" i="1"/>
  <c r="G16" i="8"/>
  <c r="F16" i="8"/>
  <c r="D40" i="1"/>
  <c r="E40" i="1"/>
  <c r="Q62" i="10"/>
  <c r="N41" i="2" l="1"/>
  <c r="E42" i="2"/>
  <c r="O41" i="2"/>
  <c r="F42" i="2"/>
  <c r="M41" i="2"/>
  <c r="D42" i="2"/>
  <c r="C40" i="1"/>
  <c r="I30" i="2"/>
  <c r="H30" i="2"/>
  <c r="H26" i="2" l="1"/>
  <c r="I26" i="2"/>
  <c r="H9" i="8"/>
  <c r="H10" i="8" s="1"/>
  <c r="G9" i="8"/>
  <c r="G10" i="8" s="1"/>
  <c r="F9" i="8"/>
  <c r="F10" i="8" s="1"/>
  <c r="E9" i="8"/>
  <c r="E10" i="8" s="1"/>
  <c r="D9" i="8"/>
  <c r="D10" i="8" s="1"/>
  <c r="J53" i="2"/>
  <c r="I53" i="2"/>
  <c r="H53" i="2"/>
  <c r="K9" i="8" l="1"/>
  <c r="J9" i="8"/>
  <c r="J10" i="8" l="1"/>
  <c r="I10" i="8"/>
  <c r="K10" i="8"/>
  <c r="B9" i="10"/>
  <c r="B15" i="10" s="1"/>
  <c r="C3" i="10"/>
  <c r="D3" i="10" s="1"/>
  <c r="E18" i="3"/>
  <c r="M45" i="2"/>
  <c r="N45" i="2" s="1"/>
  <c r="O45" i="2" s="1"/>
  <c r="P45" i="2" s="1"/>
  <c r="J48" i="2"/>
  <c r="J49" i="2"/>
  <c r="J50" i="2"/>
  <c r="J51" i="2"/>
  <c r="D5" i="5"/>
  <c r="E5" i="5"/>
  <c r="F5" i="5"/>
  <c r="G5" i="5"/>
  <c r="C5" i="5"/>
  <c r="G4" i="5"/>
  <c r="D4" i="5"/>
  <c r="E4" i="5"/>
  <c r="F4" i="5"/>
  <c r="C4" i="5"/>
  <c r="L40" i="2"/>
  <c r="J36" i="2"/>
  <c r="J37" i="2"/>
  <c r="J38" i="2"/>
  <c r="J40" i="2"/>
  <c r="J29" i="2"/>
  <c r="I29" i="2"/>
  <c r="H29" i="2"/>
  <c r="J28" i="2"/>
  <c r="I28" i="2"/>
  <c r="H28" i="2"/>
  <c r="I27" i="2"/>
  <c r="H27" i="2"/>
  <c r="J25" i="2"/>
  <c r="I25" i="2"/>
  <c r="H25" i="2"/>
  <c r="I24" i="2"/>
  <c r="H24" i="2"/>
  <c r="I23" i="2"/>
  <c r="H23" i="2"/>
  <c r="I22" i="2"/>
  <c r="H22" i="2"/>
  <c r="I21" i="2"/>
  <c r="H21" i="2"/>
  <c r="J20" i="2"/>
  <c r="I20" i="2"/>
  <c r="H20" i="2"/>
  <c r="J19" i="2"/>
  <c r="I19" i="2"/>
  <c r="H19" i="2"/>
  <c r="J12" i="2"/>
  <c r="I12" i="2"/>
  <c r="H12" i="2"/>
  <c r="J11" i="2"/>
  <c r="I11" i="2"/>
  <c r="H11" i="2"/>
  <c r="J6" i="2"/>
  <c r="I6" i="2"/>
  <c r="H6" i="2"/>
  <c r="J5" i="2"/>
  <c r="I5" i="2"/>
  <c r="H5" i="2"/>
  <c r="D11" i="8"/>
  <c r="E11" i="8"/>
  <c r="E12" i="8"/>
  <c r="D18" i="3"/>
  <c r="E13" i="8"/>
  <c r="D12" i="3"/>
  <c r="G13" i="8"/>
  <c r="H18" i="3"/>
  <c r="F18" i="3"/>
  <c r="K32" i="1"/>
  <c r="F12" i="8"/>
  <c r="G11" i="8"/>
  <c r="H11" i="8"/>
  <c r="F11" i="8"/>
  <c r="K36" i="1"/>
  <c r="J36" i="1"/>
  <c r="I36" i="1"/>
  <c r="K34" i="1"/>
  <c r="J34" i="1"/>
  <c r="I34" i="1"/>
  <c r="K33" i="1"/>
  <c r="J33" i="1"/>
  <c r="I33" i="1"/>
  <c r="K31" i="1"/>
  <c r="J31" i="1"/>
  <c r="I31" i="1"/>
  <c r="K29" i="1"/>
  <c r="J29" i="1"/>
  <c r="I29" i="1"/>
  <c r="J28" i="1"/>
  <c r="I28" i="1"/>
  <c r="K27" i="1"/>
  <c r="J27" i="1"/>
  <c r="I27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7" i="1"/>
  <c r="J17" i="1"/>
  <c r="I17" i="1"/>
  <c r="K16" i="1"/>
  <c r="J16" i="1"/>
  <c r="I16" i="1"/>
  <c r="K14" i="1"/>
  <c r="J14" i="1"/>
  <c r="I14" i="1"/>
  <c r="J13" i="1"/>
  <c r="I13" i="1"/>
  <c r="K12" i="1"/>
  <c r="J12" i="1"/>
  <c r="I12" i="1"/>
  <c r="K10" i="1"/>
  <c r="J10" i="1"/>
  <c r="I10" i="1"/>
  <c r="K8" i="1"/>
  <c r="J8" i="1"/>
  <c r="I8" i="1"/>
  <c r="B24" i="10" l="1"/>
  <c r="B62" i="10"/>
  <c r="G42" i="2"/>
  <c r="P36" i="2"/>
  <c r="P37" i="2"/>
  <c r="P35" i="2"/>
  <c r="P38" i="2"/>
  <c r="P40" i="2"/>
  <c r="P39" i="2"/>
  <c r="I18" i="1"/>
  <c r="H16" i="8"/>
  <c r="J18" i="1"/>
  <c r="G18" i="3"/>
  <c r="E11" i="3"/>
  <c r="I26" i="1"/>
  <c r="J26" i="1"/>
  <c r="K26" i="1"/>
  <c r="G12" i="8"/>
  <c r="G11" i="3"/>
  <c r="K18" i="1"/>
  <c r="H13" i="8"/>
  <c r="D14" i="8"/>
  <c r="D12" i="8"/>
  <c r="D11" i="3"/>
  <c r="G14" i="8"/>
  <c r="H12" i="8"/>
  <c r="E12" i="3"/>
  <c r="F11" i="3"/>
  <c r="D13" i="8"/>
  <c r="G12" i="3"/>
  <c r="D10" i="3"/>
  <c r="G10" i="3"/>
  <c r="I11" i="1"/>
  <c r="H11" i="3"/>
  <c r="H12" i="3"/>
  <c r="F12" i="3"/>
  <c r="F13" i="8"/>
  <c r="F17" i="3"/>
  <c r="H10" i="3"/>
  <c r="J37" i="1"/>
  <c r="F10" i="3"/>
  <c r="E10" i="3"/>
  <c r="L38" i="2"/>
  <c r="L41" i="2"/>
  <c r="L36" i="2"/>
  <c r="L39" i="2"/>
  <c r="L37" i="2"/>
  <c r="D9" i="10"/>
  <c r="D15" i="10" s="1"/>
  <c r="E3" i="10"/>
  <c r="C9" i="10"/>
  <c r="C15" i="10" s="1"/>
  <c r="C7" i="5"/>
  <c r="D14" i="3" s="1"/>
  <c r="K37" i="1"/>
  <c r="G17" i="3"/>
  <c r="J38" i="1"/>
  <c r="K11" i="1"/>
  <c r="J39" i="2"/>
  <c r="E17" i="3"/>
  <c r="D17" i="3"/>
  <c r="D13" i="3"/>
  <c r="I37" i="1"/>
  <c r="I32" i="1"/>
  <c r="J32" i="1"/>
  <c r="J11" i="1"/>
  <c r="K4" i="1"/>
  <c r="C24" i="10" l="1"/>
  <c r="C62" i="10"/>
  <c r="D24" i="10"/>
  <c r="D62" i="10"/>
  <c r="P41" i="2"/>
  <c r="J41" i="2"/>
  <c r="K16" i="8"/>
  <c r="J16" i="8"/>
  <c r="I16" i="8"/>
  <c r="H17" i="3"/>
  <c r="D15" i="8"/>
  <c r="G15" i="8"/>
  <c r="K38" i="1"/>
  <c r="I19" i="1"/>
  <c r="K19" i="1"/>
  <c r="J19" i="1"/>
  <c r="I38" i="1"/>
  <c r="H14" i="8"/>
  <c r="G13" i="3"/>
  <c r="F14" i="8"/>
  <c r="E14" i="8"/>
  <c r="E15" i="8" s="1"/>
  <c r="E13" i="3"/>
  <c r="F3" i="10"/>
  <c r="F9" i="10" s="1"/>
  <c r="F15" i="10" s="1"/>
  <c r="E9" i="10"/>
  <c r="E15" i="10" s="1"/>
  <c r="H13" i="3"/>
  <c r="H51" i="2"/>
  <c r="H50" i="2"/>
  <c r="H49" i="2"/>
  <c r="H48" i="2"/>
  <c r="H47" i="2"/>
  <c r="H46" i="2"/>
  <c r="H41" i="2"/>
  <c r="H40" i="2"/>
  <c r="H39" i="2"/>
  <c r="H38" i="2"/>
  <c r="H37" i="2"/>
  <c r="H36" i="2"/>
  <c r="H4" i="2"/>
  <c r="H3" i="2"/>
  <c r="H34" i="2"/>
  <c r="H45" i="2"/>
  <c r="F15" i="8" l="1"/>
  <c r="H15" i="8"/>
  <c r="E24" i="10"/>
  <c r="E62" i="10"/>
  <c r="F24" i="10"/>
  <c r="F62" i="10"/>
  <c r="K15" i="8"/>
  <c r="J15" i="8"/>
  <c r="I15" i="8"/>
  <c r="F13" i="3"/>
  <c r="I39" i="1"/>
  <c r="J39" i="1"/>
  <c r="G40" i="1"/>
  <c r="K39" i="1"/>
  <c r="AD24" i="10" l="1"/>
  <c r="AD25" i="10"/>
  <c r="AD29" i="10"/>
  <c r="AD31" i="10"/>
  <c r="AD32" i="10"/>
  <c r="AD33" i="10"/>
  <c r="AD34" i="10"/>
  <c r="AD35" i="10"/>
  <c r="AD36" i="10"/>
  <c r="AD16" i="10"/>
  <c r="AD17" i="10"/>
  <c r="AD18" i="10"/>
  <c r="AD19" i="10"/>
  <c r="AD20" i="10"/>
  <c r="AD21" i="10"/>
  <c r="AD22" i="10"/>
  <c r="AD23" i="10"/>
  <c r="C14" i="10" l="1"/>
  <c r="D14" i="10"/>
  <c r="E14" i="10"/>
  <c r="F14" i="10"/>
  <c r="G14" i="10"/>
  <c r="H14" i="10"/>
  <c r="B14" i="10"/>
  <c r="A13" i="10"/>
  <c r="B50" i="10" l="1"/>
  <c r="D50" i="10" l="1"/>
  <c r="E51" i="10"/>
  <c r="C50" i="10"/>
  <c r="H4" i="8"/>
  <c r="G7" i="5"/>
  <c r="G57" i="2"/>
  <c r="I51" i="2"/>
  <c r="I50" i="2"/>
  <c r="I49" i="2"/>
  <c r="I48" i="2"/>
  <c r="J47" i="2"/>
  <c r="I47" i="2"/>
  <c r="J46" i="2"/>
  <c r="I46" i="2"/>
  <c r="I41" i="2"/>
  <c r="I40" i="2"/>
  <c r="I39" i="2"/>
  <c r="I38" i="2"/>
  <c r="I37" i="2"/>
  <c r="I36" i="2"/>
  <c r="J4" i="2"/>
  <c r="I4" i="2"/>
  <c r="K7" i="1"/>
  <c r="J7" i="1"/>
  <c r="I7" i="1"/>
  <c r="K6" i="1"/>
  <c r="J6" i="1"/>
  <c r="I6" i="1"/>
  <c r="K5" i="1"/>
  <c r="J5" i="1"/>
  <c r="I5" i="1"/>
  <c r="J4" i="1"/>
  <c r="I4" i="1"/>
  <c r="I3" i="1"/>
  <c r="I3" i="8"/>
  <c r="G10" i="5" l="1"/>
  <c r="H5" i="3" s="1"/>
  <c r="P52" i="2"/>
  <c r="P46" i="2"/>
  <c r="P51" i="2"/>
  <c r="P50" i="2"/>
  <c r="P49" i="2"/>
  <c r="P48" i="2"/>
  <c r="P47" i="2"/>
  <c r="E50" i="10"/>
  <c r="F51" i="10"/>
  <c r="H14" i="3"/>
  <c r="H4" i="3"/>
  <c r="A32" i="10"/>
  <c r="A34" i="10"/>
  <c r="A35" i="10" s="1"/>
  <c r="A36" i="10" s="1"/>
  <c r="A37" i="10" s="1"/>
  <c r="H7" i="8" l="1"/>
  <c r="H6" i="3"/>
  <c r="H8" i="3"/>
  <c r="B37" i="10"/>
  <c r="B36" i="10"/>
  <c r="B35" i="10"/>
  <c r="B34" i="10"/>
  <c r="B33" i="10"/>
  <c r="F42" i="10" s="1"/>
  <c r="G51" i="10"/>
  <c r="F50" i="10"/>
  <c r="H7" i="3" l="1"/>
  <c r="H15" i="3"/>
  <c r="H16" i="3"/>
  <c r="H9" i="3"/>
  <c r="H19" i="3"/>
  <c r="G46" i="10"/>
  <c r="D46" i="10" s="1"/>
  <c r="G44" i="10"/>
  <c r="E44" i="10" s="1"/>
  <c r="G45" i="10"/>
  <c r="E45" i="10" s="1"/>
  <c r="G43" i="10"/>
  <c r="H51" i="10"/>
  <c r="H50" i="10" s="1"/>
  <c r="G50" i="10"/>
  <c r="I52" i="10" s="1"/>
  <c r="AD4" i="10"/>
  <c r="AD5" i="10"/>
  <c r="AD6" i="10"/>
  <c r="AD3" i="10"/>
  <c r="I54" i="10" l="1"/>
  <c r="I55" i="10"/>
  <c r="I53" i="10"/>
  <c r="E46" i="10"/>
  <c r="D45" i="10"/>
  <c r="D44" i="10"/>
  <c r="AA4" i="10"/>
  <c r="AA5" i="10" s="1"/>
  <c r="AA6" i="10" s="1"/>
  <c r="AA7" i="10" s="1"/>
  <c r="I9" i="10"/>
  <c r="C8" i="10"/>
  <c r="D8" i="10"/>
  <c r="E8" i="10"/>
  <c r="F8" i="10"/>
  <c r="B8" i="10"/>
  <c r="A8" i="10"/>
  <c r="A5" i="10"/>
  <c r="A4" i="10"/>
  <c r="J53" i="10" l="1"/>
  <c r="J55" i="10"/>
  <c r="J54" i="10"/>
  <c r="J52" i="10"/>
  <c r="C5" i="10"/>
  <c r="D5" i="10"/>
  <c r="E5" i="10"/>
  <c r="F5" i="10"/>
  <c r="B5" i="10"/>
  <c r="F4" i="10"/>
  <c r="D4" i="10"/>
  <c r="E4" i="10"/>
  <c r="B4" i="10"/>
  <c r="C4" i="10"/>
  <c r="AA8" i="10"/>
  <c r="AD7" i="10"/>
  <c r="S3" i="10"/>
  <c r="S5" i="10"/>
  <c r="S9" i="10"/>
  <c r="S8" i="10"/>
  <c r="S6" i="10"/>
  <c r="S10" i="10"/>
  <c r="S7" i="10"/>
  <c r="D7" i="10"/>
  <c r="S4" i="10"/>
  <c r="A1" i="10"/>
  <c r="K5" i="8"/>
  <c r="D4" i="8"/>
  <c r="S4" i="8" s="1"/>
  <c r="E4" i="8"/>
  <c r="F4" i="8"/>
  <c r="G4" i="8"/>
  <c r="N52" i="10" l="1"/>
  <c r="Q52" i="10" s="1"/>
  <c r="Q56" i="10"/>
  <c r="N53" i="10"/>
  <c r="Q53" i="10" s="1"/>
  <c r="N54" i="10"/>
  <c r="Q54" i="10" s="1"/>
  <c r="Q58" i="10"/>
  <c r="N55" i="10"/>
  <c r="Q55" i="10" s="1"/>
  <c r="Q57" i="10"/>
  <c r="I4" i="8"/>
  <c r="K4" i="8"/>
  <c r="J4" i="8"/>
  <c r="J5" i="8"/>
  <c r="I5" i="8"/>
  <c r="AA9" i="10"/>
  <c r="AD8" i="10"/>
  <c r="T4" i="10"/>
  <c r="U4" i="10" s="1"/>
  <c r="A11" i="10" s="1"/>
  <c r="A64" i="10" s="1"/>
  <c r="T8" i="10"/>
  <c r="U8" i="10" s="1"/>
  <c r="T10" i="10"/>
  <c r="U10" i="10" s="1"/>
  <c r="T7" i="10"/>
  <c r="U7" i="10" s="1"/>
  <c r="T5" i="10"/>
  <c r="U5" i="10" s="1"/>
  <c r="T9" i="10"/>
  <c r="U9" i="10" s="1"/>
  <c r="T6" i="10"/>
  <c r="U6" i="10" s="1"/>
  <c r="T3" i="10"/>
  <c r="Q59" i="10" l="1"/>
  <c r="Q60" i="10" s="1"/>
  <c r="C11" i="10"/>
  <c r="B11" i="10"/>
  <c r="D11" i="10"/>
  <c r="E11" i="10"/>
  <c r="F11" i="10"/>
  <c r="AA10" i="10"/>
  <c r="AD9" i="10"/>
  <c r="U3" i="10"/>
  <c r="A10" i="10" s="1"/>
  <c r="A63" i="10" s="1"/>
  <c r="F7" i="5"/>
  <c r="F10" i="5" l="1"/>
  <c r="R54" i="10"/>
  <c r="R53" i="10"/>
  <c r="R52" i="10"/>
  <c r="R55" i="10"/>
  <c r="F10" i="10"/>
  <c r="D10" i="10"/>
  <c r="E10" i="10"/>
  <c r="E12" i="10" s="1"/>
  <c r="E63" i="10" s="1"/>
  <c r="B10" i="10"/>
  <c r="C10" i="10"/>
  <c r="G14" i="3"/>
  <c r="H52" i="2"/>
  <c r="I52" i="2"/>
  <c r="J52" i="2"/>
  <c r="J35" i="2"/>
  <c r="I35" i="2"/>
  <c r="H35" i="2"/>
  <c r="K13" i="8"/>
  <c r="AA11" i="10"/>
  <c r="AD10" i="10"/>
  <c r="A7" i="10"/>
  <c r="K11" i="8"/>
  <c r="K12" i="8"/>
  <c r="G4" i="3"/>
  <c r="G5" i="3" l="1"/>
  <c r="G7" i="8"/>
  <c r="B12" i="10"/>
  <c r="B64" i="10" s="1"/>
  <c r="C12" i="10"/>
  <c r="C64" i="10" s="1"/>
  <c r="D12" i="10"/>
  <c r="D64" i="10" s="1"/>
  <c r="E64" i="10"/>
  <c r="F12" i="10"/>
  <c r="F64" i="10" s="1"/>
  <c r="G6" i="3"/>
  <c r="J54" i="2"/>
  <c r="H54" i="2"/>
  <c r="I54" i="2"/>
  <c r="I9" i="8"/>
  <c r="J12" i="8"/>
  <c r="I12" i="8"/>
  <c r="I11" i="8"/>
  <c r="J11" i="8"/>
  <c r="I13" i="8"/>
  <c r="J13" i="8"/>
  <c r="AA12" i="10"/>
  <c r="AD11" i="10"/>
  <c r="K14" i="8"/>
  <c r="D7" i="5"/>
  <c r="D10" i="5" s="1"/>
  <c r="E7" i="8" s="1"/>
  <c r="C10" i="5"/>
  <c r="D7" i="8" s="1"/>
  <c r="K7" i="8" l="1"/>
  <c r="I7" i="8"/>
  <c r="J7" i="8"/>
  <c r="G8" i="3"/>
  <c r="G7" i="3"/>
  <c r="G15" i="3"/>
  <c r="D63" i="10"/>
  <c r="C63" i="10"/>
  <c r="B63" i="10"/>
  <c r="F63" i="10"/>
  <c r="G19" i="3"/>
  <c r="G9" i="3"/>
  <c r="G16" i="3"/>
  <c r="I14" i="8"/>
  <c r="J14" i="8"/>
  <c r="AA13" i="10"/>
  <c r="AD13" i="10" s="1"/>
  <c r="AD12" i="10"/>
  <c r="E4" i="3"/>
  <c r="E5" i="3"/>
  <c r="E14" i="3"/>
  <c r="D4" i="3"/>
  <c r="D5" i="3"/>
  <c r="E7" i="5"/>
  <c r="F14" i="3" l="1"/>
  <c r="E8" i="3"/>
  <c r="D8" i="3"/>
  <c r="AD26" i="10"/>
  <c r="AA14" i="10"/>
  <c r="F4" i="3"/>
  <c r="E10" i="5"/>
  <c r="AA15" i="10" l="1"/>
  <c r="AD14" i="10"/>
  <c r="D6" i="3"/>
  <c r="L50" i="2"/>
  <c r="L52" i="2"/>
  <c r="L48" i="2"/>
  <c r="L49" i="2"/>
  <c r="L51" i="2"/>
  <c r="L47" i="2"/>
  <c r="E6" i="3"/>
  <c r="E15" i="3" s="1"/>
  <c r="F6" i="3"/>
  <c r="AD27" i="10"/>
  <c r="F7" i="8"/>
  <c r="F5" i="3"/>
  <c r="F8" i="3" l="1"/>
  <c r="F15" i="3"/>
  <c r="D16" i="3"/>
  <c r="D15" i="3"/>
  <c r="D7" i="3"/>
  <c r="AA16" i="10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27" i="10" s="1"/>
  <c r="AA28" i="10" s="1"/>
  <c r="AA29" i="10" s="1"/>
  <c r="AA30" i="10" s="1"/>
  <c r="AA31" i="10" s="1"/>
  <c r="AA32" i="10" s="1"/>
  <c r="AA33" i="10" s="1"/>
  <c r="AA34" i="10" s="1"/>
  <c r="AA35" i="10" s="1"/>
  <c r="AA36" i="10" s="1"/>
  <c r="AD15" i="10"/>
  <c r="F19" i="3"/>
  <c r="F16" i="3"/>
  <c r="F9" i="3"/>
  <c r="E9" i="3"/>
  <c r="E16" i="3"/>
  <c r="E19" i="3"/>
  <c r="E7" i="3"/>
  <c r="D9" i="3"/>
  <c r="D19" i="3"/>
  <c r="F7" i="3"/>
  <c r="AD28" i="10"/>
  <c r="G42" i="10"/>
  <c r="I11" i="10"/>
  <c r="AD30" i="10" l="1"/>
  <c r="D43" i="10"/>
  <c r="B43" i="10" s="1"/>
  <c r="E43" i="10"/>
  <c r="B44" i="10" l="1"/>
  <c r="B45" i="10" s="1"/>
  <c r="B46" i="10" s="1"/>
  <c r="C47" i="10" s="1"/>
  <c r="AE14" i="10"/>
  <c r="AE22" i="10"/>
  <c r="AE13" i="10"/>
  <c r="AE21" i="10"/>
  <c r="AE23" i="10"/>
  <c r="AE34" i="10"/>
  <c r="AE11" i="10"/>
  <c r="AF11" i="10" s="1"/>
  <c r="AE16" i="10"/>
  <c r="AE17" i="10"/>
  <c r="AE33" i="10"/>
  <c r="AE18" i="10"/>
  <c r="AE19" i="10"/>
  <c r="AE25" i="10"/>
  <c r="AE29" i="10"/>
  <c r="AE32" i="10"/>
  <c r="AE30" i="10"/>
  <c r="AE27" i="10"/>
  <c r="AE15" i="10"/>
  <c r="AE12" i="10"/>
  <c r="AE28" i="10"/>
  <c r="AE10" i="10"/>
  <c r="AF10" i="10" s="1"/>
  <c r="AE31" i="10"/>
  <c r="AE35" i="10"/>
  <c r="AE36" i="10"/>
  <c r="AE26" i="10"/>
  <c r="AE20" i="10"/>
  <c r="AE24" i="10"/>
  <c r="I10" i="10"/>
  <c r="AE3" i="10" l="1"/>
  <c r="AF3" i="10" s="1"/>
  <c r="AF30" i="10"/>
  <c r="AF29" i="10"/>
  <c r="AF25" i="10"/>
  <c r="AF13" i="10"/>
  <c r="AF15" i="10"/>
  <c r="AE9" i="10"/>
  <c r="AE7" i="10"/>
  <c r="AF27" i="10"/>
  <c r="AE5" i="10"/>
  <c r="AF24" i="10"/>
  <c r="AE4" i="10"/>
  <c r="AF12" i="10"/>
  <c r="AE6" i="10"/>
  <c r="AE8" i="10"/>
  <c r="AF28" i="10"/>
  <c r="AF31" i="10"/>
  <c r="AF26" i="10"/>
  <c r="AF6" i="10" l="1"/>
  <c r="A28" i="10" s="1"/>
  <c r="AF7" i="10"/>
  <c r="A29" i="10" s="1"/>
  <c r="AF8" i="10"/>
  <c r="A30" i="10" s="1"/>
  <c r="AF4" i="10"/>
  <c r="A17" i="10" s="1"/>
  <c r="AF9" i="10"/>
  <c r="A31" i="10" s="1"/>
  <c r="AF5" i="10"/>
  <c r="A27" i="10" s="1"/>
  <c r="A25" i="10"/>
  <c r="B25" i="10" s="1"/>
  <c r="A16" i="10"/>
  <c r="A19" i="10" l="1"/>
  <c r="A21" i="10"/>
  <c r="A22" i="10"/>
  <c r="E25" i="10"/>
  <c r="F25" i="10"/>
  <c r="D25" i="10"/>
  <c r="C27" i="10"/>
  <c r="D27" i="10"/>
  <c r="B27" i="10"/>
  <c r="E27" i="10"/>
  <c r="F27" i="10"/>
  <c r="E30" i="10"/>
  <c r="C30" i="10"/>
  <c r="B30" i="10"/>
  <c r="D30" i="10"/>
  <c r="F30" i="10"/>
  <c r="E29" i="10"/>
  <c r="D29" i="10"/>
  <c r="F29" i="10"/>
  <c r="C29" i="10"/>
  <c r="B29" i="10"/>
  <c r="D31" i="10"/>
  <c r="C31" i="10"/>
  <c r="E31" i="10"/>
  <c r="F31" i="10"/>
  <c r="B31" i="10"/>
  <c r="B28" i="10"/>
  <c r="C28" i="10"/>
  <c r="D28" i="10"/>
  <c r="E28" i="10"/>
  <c r="F28" i="10"/>
  <c r="A20" i="10"/>
  <c r="B20" i="10" s="1"/>
  <c r="A26" i="10"/>
  <c r="A18" i="10"/>
  <c r="C25" i="10"/>
  <c r="D16" i="10"/>
  <c r="B16" i="10"/>
  <c r="C16" i="10"/>
  <c r="E16" i="10"/>
  <c r="F16" i="10"/>
  <c r="D21" i="10"/>
  <c r="B21" i="10"/>
  <c r="E21" i="10"/>
  <c r="F21" i="10"/>
  <c r="C21" i="10"/>
  <c r="C22" i="10"/>
  <c r="F22" i="10"/>
  <c r="B22" i="10"/>
  <c r="D22" i="10"/>
  <c r="E22" i="10"/>
  <c r="E19" i="10"/>
  <c r="C19" i="10"/>
  <c r="F19" i="10"/>
  <c r="B19" i="10"/>
  <c r="D19" i="10"/>
  <c r="D17" i="10"/>
  <c r="E17" i="10"/>
  <c r="F17" i="10"/>
  <c r="B17" i="10"/>
  <c r="C17" i="10"/>
  <c r="E18" i="10"/>
  <c r="C18" i="10"/>
  <c r="F18" i="10"/>
  <c r="B18" i="10"/>
  <c r="D18" i="10"/>
  <c r="E20" i="10" l="1"/>
  <c r="F20" i="10"/>
  <c r="C20" i="10"/>
  <c r="D20" i="10"/>
  <c r="D26" i="10"/>
  <c r="F26" i="10"/>
  <c r="E26" i="10"/>
  <c r="B26" i="10"/>
  <c r="C26" i="10"/>
  <c r="I18" i="10"/>
  <c r="I21" i="10"/>
  <c r="I16" i="10"/>
  <c r="I17" i="10"/>
  <c r="I22" i="10"/>
  <c r="I19" i="10"/>
  <c r="I20" i="10" l="1"/>
  <c r="J16" i="10" s="1"/>
  <c r="I28" i="10"/>
  <c r="J28" i="10" s="1"/>
  <c r="I30" i="10"/>
  <c r="J30" i="10" s="1"/>
  <c r="I31" i="10"/>
  <c r="J31" i="10" s="1"/>
  <c r="I27" i="10"/>
  <c r="J27" i="10" s="1"/>
  <c r="I29" i="10"/>
  <c r="J29" i="10" s="1"/>
  <c r="I25" i="10"/>
  <c r="J25" i="10" s="1"/>
  <c r="I26" i="10"/>
  <c r="J26" i="10" s="1"/>
  <c r="J18" i="10" l="1"/>
  <c r="J19" i="10"/>
  <c r="J21" i="10"/>
  <c r="J17" i="10"/>
  <c r="J20" i="10"/>
  <c r="J22" i="10"/>
  <c r="N16" i="10" l="1"/>
  <c r="Q16" i="10" s="1"/>
  <c r="N19" i="10"/>
  <c r="Q19" i="10" s="1"/>
  <c r="N17" i="10"/>
  <c r="Q17" i="10" s="1"/>
  <c r="N18" i="10"/>
  <c r="Q18" i="10" s="1"/>
  <c r="N21" i="10"/>
  <c r="Q21" i="10" s="1"/>
  <c r="N20" i="10"/>
  <c r="Q20" i="10" s="1"/>
  <c r="N22" i="10"/>
  <c r="Q22" i="10" s="1"/>
  <c r="Q23" i="10" l="1"/>
  <c r="N23" i="10" s="1"/>
  <c r="R18" i="10" l="1"/>
  <c r="R19" i="10"/>
  <c r="R17" i="10"/>
  <c r="R20" i="10"/>
  <c r="R22" i="10"/>
  <c r="R21" i="10"/>
  <c r="R16" i="10"/>
</calcChain>
</file>

<file path=xl/sharedStrings.xml><?xml version="1.0" encoding="utf-8"?>
<sst xmlns="http://schemas.openxmlformats.org/spreadsheetml/2006/main" count="433" uniqueCount="315">
  <si>
    <t>Indicator</t>
  </si>
  <si>
    <t>Property, plant and equipment</t>
  </si>
  <si>
    <t>Investment property</t>
  </si>
  <si>
    <t>Total non-current assets</t>
  </si>
  <si>
    <t>Total current assets</t>
  </si>
  <si>
    <t>Total assets</t>
  </si>
  <si>
    <t>Issued capital</t>
  </si>
  <si>
    <t>Share premium</t>
  </si>
  <si>
    <t>Retained earnings</t>
  </si>
  <si>
    <t>Total Equity</t>
  </si>
  <si>
    <t>Deferred tax liabilities</t>
  </si>
  <si>
    <t>Total non-current liabilities</t>
  </si>
  <si>
    <t>Total current liabilities</t>
  </si>
  <si>
    <t>Total liabilities</t>
  </si>
  <si>
    <t>Total equity and liabilities</t>
  </si>
  <si>
    <t>Revenue</t>
  </si>
  <si>
    <t>Investment income</t>
  </si>
  <si>
    <t>Raw materials and consumables used</t>
  </si>
  <si>
    <t>Depreciation and amortisation expenses</t>
  </si>
  <si>
    <t>Finance costs</t>
  </si>
  <si>
    <t>Other expenses</t>
  </si>
  <si>
    <t>Profit (loss) before tax</t>
  </si>
  <si>
    <t>Income tax expense</t>
  </si>
  <si>
    <t>Total</t>
  </si>
  <si>
    <t>© ROMCARBON SA</t>
  </si>
  <si>
    <t>Revenue details</t>
  </si>
  <si>
    <t>EBITDA</t>
  </si>
  <si>
    <t>Formula</t>
  </si>
  <si>
    <t>EBIT</t>
  </si>
  <si>
    <t>Sales</t>
  </si>
  <si>
    <t>EBITDA to sales ratio</t>
  </si>
  <si>
    <t>EBITDA to Equity ratio</t>
  </si>
  <si>
    <t>Gross profit margin</t>
  </si>
  <si>
    <t>Current ratio</t>
  </si>
  <si>
    <t>Quick ratio</t>
  </si>
  <si>
    <t>Account receivable turnover ratio</t>
  </si>
  <si>
    <t>Account payable turnover ratio</t>
  </si>
  <si>
    <t>Return on assets (ROA)</t>
  </si>
  <si>
    <t>Return on equity (ROE)</t>
  </si>
  <si>
    <t>Return on sales (ROS)</t>
  </si>
  <si>
    <t>Non-current liabilities to Equity ratio</t>
  </si>
  <si>
    <t>Total liabilities to Assets ratio</t>
  </si>
  <si>
    <t>See EBIT-EBITDA</t>
  </si>
  <si>
    <t>EBITDA/Sales</t>
  </si>
  <si>
    <t>EBITDA/Equity</t>
  </si>
  <si>
    <t>Gross profit/Sales</t>
  </si>
  <si>
    <t>Current assets/Current liabilities</t>
  </si>
  <si>
    <t>(Current assets-Inventories)/Current liabilities</t>
  </si>
  <si>
    <t>Non-current liabilities/Equity</t>
  </si>
  <si>
    <t>Total liabilities/Total Assets</t>
  </si>
  <si>
    <t>EBIT/Interest expenses</t>
  </si>
  <si>
    <t>Average receivables/Sales</t>
  </si>
  <si>
    <t>Average payables/Sales</t>
  </si>
  <si>
    <t>Net profit/Assets</t>
  </si>
  <si>
    <t>Net profit/Equity</t>
  </si>
  <si>
    <t>Net profit/Sales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</si>
  <si>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</si>
  <si>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</si>
  <si>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</si>
  <si>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</si>
  <si>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</si>
  <si>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Cash and cash equivalents at the beginning of the year</t>
  </si>
  <si>
    <t>Weights in Revenue</t>
  </si>
  <si>
    <t>The source of the financial information is the company annual reports.</t>
  </si>
  <si>
    <t>Net profit</t>
  </si>
  <si>
    <t>Non-Current assets</t>
  </si>
  <si>
    <t>Current assets</t>
  </si>
  <si>
    <t>Total Liabilities</t>
  </si>
  <si>
    <t>Item</t>
  </si>
  <si>
    <t>Buzau, 132 Transilvaniei street</t>
  </si>
  <si>
    <t>Phone : +40(0)238 711 155</t>
  </si>
  <si>
    <t>Fax: +40(0)238 710 697</t>
  </si>
  <si>
    <t>investor.relations@romcarbon.com</t>
  </si>
  <si>
    <t>Postal code: 120012</t>
  </si>
  <si>
    <t>Interest coverage ratio</t>
  </si>
  <si>
    <t>Note: In EBIT and EBITDA are included also the non-repeating elements suchs as dividends, sales of assets, others.</t>
  </si>
  <si>
    <t>Liabilities</t>
  </si>
  <si>
    <t>Assets</t>
  </si>
  <si>
    <t>List1</t>
  </si>
  <si>
    <t>List2</t>
  </si>
  <si>
    <t>List3</t>
  </si>
  <si>
    <t>Non-current assets</t>
  </si>
  <si>
    <t>Non-current liabilities</t>
  </si>
  <si>
    <t>Current liabilities</t>
  </si>
  <si>
    <t>Equity</t>
  </si>
  <si>
    <t>Equity&amp;Liabilities</t>
  </si>
  <si>
    <t>Start</t>
  </si>
  <si>
    <t>Base</t>
  </si>
  <si>
    <t>End</t>
  </si>
  <si>
    <t>Down</t>
  </si>
  <si>
    <t>Up</t>
  </si>
  <si>
    <t>Net</t>
  </si>
  <si>
    <t>An</t>
  </si>
  <si>
    <t>Date</t>
  </si>
  <si>
    <t>Rank</t>
  </si>
  <si>
    <t>Pozitie</t>
  </si>
  <si>
    <t>Center</t>
  </si>
  <si>
    <t>Value</t>
  </si>
  <si>
    <t>%</t>
  </si>
  <si>
    <t>Revenue (Sales)</t>
  </si>
  <si>
    <t>www.romcarbon.com</t>
  </si>
  <si>
    <t>Equity attributable to equity holders of the parent</t>
  </si>
  <si>
    <t>n/a</t>
  </si>
  <si>
    <t>Romcarbon SA</t>
  </si>
  <si>
    <t>LivingJumbo Industry SA</t>
  </si>
  <si>
    <t>RC Energo Install SRL</t>
  </si>
  <si>
    <t>Info Tech Solutions SRL</t>
  </si>
  <si>
    <t xml:space="preserve"> - within the group</t>
  </si>
  <si>
    <t xml:space="preserve"> - outside the group</t>
  </si>
  <si>
    <t>Total revenues, from which:</t>
  </si>
  <si>
    <t xml:space="preserve"> Owners of the parent company</t>
  </si>
  <si>
    <t xml:space="preserve">Non-controlling interests </t>
  </si>
  <si>
    <t xml:space="preserve"> Profit/loss of the period(from operations), attributable to:</t>
  </si>
  <si>
    <t xml:space="preserve"> Profit/loss of the period</t>
  </si>
  <si>
    <t xml:space="preserve"> Comprehensive profit/loss, attributable to:</t>
  </si>
  <si>
    <t>Exchange difference on translating foreign operations</t>
  </si>
  <si>
    <t>Difference from revaluation of land and buildings</t>
  </si>
  <si>
    <t>Company</t>
  </si>
  <si>
    <t>Sales of finished goods (701+709)</t>
  </si>
  <si>
    <t>Sales of intermediary goods</t>
  </si>
  <si>
    <t>Sales of residual products</t>
  </si>
  <si>
    <t>Services rendered</t>
  </si>
  <si>
    <t>Sales of goods purchased for resale</t>
  </si>
  <si>
    <t>Revenues from sundry services</t>
  </si>
  <si>
    <t>Rental revenues</t>
  </si>
  <si>
    <t>Revenue + Rental revenues</t>
  </si>
  <si>
    <t>Total revenues</t>
  </si>
  <si>
    <t>Select the  item---&gt;&gt;&gt;</t>
  </si>
  <si>
    <t>Select the 1st comparison item--&gt;&gt;&gt;</t>
  </si>
  <si>
    <t>Select the 2nd comparison item-&gt;&gt;&gt;</t>
  </si>
  <si>
    <t>Select the year-&gt;&gt;&gt;</t>
  </si>
  <si>
    <t>Select the item---&gt;&gt;&gt;</t>
  </si>
  <si>
    <t>Select the year---&gt;&gt;&gt;</t>
  </si>
  <si>
    <t>Note: The rental revenues are included in "Investment income"</t>
  </si>
  <si>
    <r>
      <rPr>
        <b/>
        <u/>
        <sz val="11"/>
        <rFont val="Candara"/>
        <family val="2"/>
      </rPr>
      <t>Note: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This file has been prepared for information purpose.</t>
    </r>
    <r>
      <rPr>
        <b/>
        <sz val="11"/>
        <rFont val="Candara"/>
        <family val="2"/>
      </rPr>
      <t xml:space="preserve">
</t>
    </r>
  </si>
  <si>
    <t xml:space="preserve">Revenue details </t>
  </si>
  <si>
    <t>Other current financial assets</t>
  </si>
  <si>
    <t>Debt ratio</t>
  </si>
  <si>
    <t>Current liquidity</t>
  </si>
  <si>
    <t>Goodwill</t>
  </si>
  <si>
    <t>Intangible assets other than goodwill</t>
  </si>
  <si>
    <t>Investments accounted for using equity method</t>
  </si>
  <si>
    <t>Investments in subsidiaries, joint ventures and associates</t>
  </si>
  <si>
    <t>Other non-current financial assets</t>
  </si>
  <si>
    <t>Current inventories</t>
  </si>
  <si>
    <t>Trade and other current receivables</t>
  </si>
  <si>
    <t>Other current non-financial assets</t>
  </si>
  <si>
    <t>Cash and cash equivalents</t>
  </si>
  <si>
    <t>Non-current assets or disposal groups classified as held for sale or as held for distribution to owners</t>
  </si>
  <si>
    <t>Other reserves</t>
  </si>
  <si>
    <t>Non-controlling interests</t>
  </si>
  <si>
    <t>Other non-current provisions</t>
  </si>
  <si>
    <t>Other non-current financial liabilities</t>
  </si>
  <si>
    <t>Other non-current non-financial liabilities</t>
  </si>
  <si>
    <t>Trade and other current payables</t>
  </si>
  <si>
    <t>Other current financial liabilities</t>
  </si>
  <si>
    <t>Other current non-financial liabilities</t>
  </si>
  <si>
    <t>Other Income</t>
  </si>
  <si>
    <t>Increase (decrease) in inventories of finished goods and work in progress</t>
  </si>
  <si>
    <t>Employee benefits expense</t>
  </si>
  <si>
    <t>Other gains (losses)</t>
  </si>
  <si>
    <t>Profit (loss) from operating activities</t>
  </si>
  <si>
    <t>Finance Income</t>
  </si>
  <si>
    <t>Share of profit (loss) of associates and joint ventures accounted for using equity method</t>
  </si>
  <si>
    <t>Other financial liabilities</t>
  </si>
  <si>
    <t>EBITDA Operational</t>
  </si>
  <si>
    <t xml:space="preserve">Share of profit (loss) of associates </t>
  </si>
  <si>
    <r>
      <t xml:space="preserve">Note: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is calculated starting with the net profit and includes also the non-repeating elements suchs as dividends, sales of assets, others.</t>
    </r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</si>
  <si>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is calculated only for operational activity, excluding the depreciation, sales of non-current assests, non-repeating elements and financial activity.</t>
    </r>
  </si>
  <si>
    <t>Select the year &gt;&gt;&gt;</t>
  </si>
  <si>
    <t>CONSOLIDATED ANNUAL FINANCIAL DATA  (IFRS - EU)</t>
  </si>
  <si>
    <t>Sales (turnover)</t>
  </si>
  <si>
    <t>Lei</t>
  </si>
  <si>
    <t>In this file all the amounts are expressed in lei.</t>
  </si>
  <si>
    <t>lei</t>
  </si>
  <si>
    <t>Net gain/(loss) on disposal of financial investments</t>
  </si>
  <si>
    <t>*In December 2022 the Group sold its financial investment in Green-Group</t>
  </si>
  <si>
    <t>Net profit without the impact of the Share of profit (loss) of associates [GREEN-GROUP]*</t>
  </si>
  <si>
    <t>Impairment losses and impairment of financial assets</t>
  </si>
  <si>
    <t>In total  [2025]</t>
  </si>
  <si>
    <t>Net gain/(loss) on disposal of short term financial investments</t>
  </si>
  <si>
    <t>Fluxurile de trezorerie provenite din (folosite în) activitățile de exploatare</t>
  </si>
  <si>
    <t>Cash flows from (used in) operating activities</t>
  </si>
  <si>
    <t>Profit (pierdere)</t>
  </si>
  <si>
    <t>Profit (loss)</t>
  </si>
  <si>
    <t>Ajustări pentru reconcilierea profitului (pierderii)</t>
  </si>
  <si>
    <t>Adjustments to reconcile profit (loss)</t>
  </si>
  <si>
    <t>Ajustări pentru cheltuielile cu impozitul pe profit</t>
  </si>
  <si>
    <t>Adjustments for income tax expense</t>
  </si>
  <si>
    <t>Cheltuieli financiare recunoscute in profit</t>
  </si>
  <si>
    <t>Finance expenses recognized in profit</t>
  </si>
  <si>
    <t>(Câştig) / Pierdere din vânzarea sau cedarea de mijloace fixe</t>
  </si>
  <si>
    <t>(Gain) / Loss on sale or disposal of fixed assets</t>
  </si>
  <si>
    <t>(Câştig) / Pierdere din vânzarea sau cedarea de investitii imobiliare</t>
  </si>
  <si>
    <t>(Gain) / Loss on sale or disposal of investment property</t>
  </si>
  <si>
    <t>(Câştig) / Pierdere din vânzarea sau cedarea de active detinute in vederea vanzarii</t>
  </si>
  <si>
    <t>(Gain) / Loss on sale or disposal of assets held for sale</t>
  </si>
  <si>
    <t>(Câştig) / Pierdere din vânzarea sau cedarea de investitii financiare</t>
  </si>
  <si>
    <t>(Gain) / Loss on sale or disposal of financial assets</t>
  </si>
  <si>
    <t>(Câştig) / Pierdere din vânzarea sau cedarea de investitii financiare pe termen scurt</t>
  </si>
  <si>
    <t>(Gain) / Loss on sale or disposal of short-term financial assets</t>
  </si>
  <si>
    <t>Ajustari de valoare a activelor financiare</t>
  </si>
  <si>
    <t>Adjustments related to financial assets</t>
  </si>
  <si>
    <t>Venituri din productia de imobilizari</t>
  </si>
  <si>
    <t>Production of the imobilization</t>
  </si>
  <si>
    <t>Venituri din dividende</t>
  </si>
  <si>
    <t>Income from dividends</t>
  </si>
  <si>
    <t>Venituri din dobanzi</t>
  </si>
  <si>
    <t>Interest income</t>
  </si>
  <si>
    <t>Pierderi din deprecierea stocurilor</t>
  </si>
  <si>
    <t>Loss on impairment of stocks</t>
  </si>
  <si>
    <t>Pierderi din deprecierea creanţelor comerciale</t>
  </si>
  <si>
    <t>Loss on impairment of trade receivables</t>
  </si>
  <si>
    <t>Pierderi din creante prescrise</t>
  </si>
  <si>
    <t>Loss on time-barred receivables</t>
  </si>
  <si>
    <t>Pierderi din deprecierea fondului comercial</t>
  </si>
  <si>
    <t>Loss on impairment of goodwill</t>
  </si>
  <si>
    <t>Pierderi din deprecierea imobilizarilor corporale</t>
  </si>
  <si>
    <t>Loss on impairment of property, plant and equipment</t>
  </si>
  <si>
    <t>Amortizarea activelor pe termen lung</t>
  </si>
  <si>
    <t>Amortization / Depreciation of non-current assets</t>
  </si>
  <si>
    <t>(Castig) / Pierdere net din schimb valutar</t>
  </si>
  <si>
    <t xml:space="preserve">Net (gain) / loss on foreign exchange </t>
  </si>
  <si>
    <t>(Castiguri) / Pierderi din investitii</t>
  </si>
  <si>
    <t>(Gain) / Loss on investment</t>
  </si>
  <si>
    <t>(Castiguri) / Pierderi din reevaluarea imobilizarilor corporale</t>
  </si>
  <si>
    <t>(Gain) / Loss on revaluation of tangible assets</t>
  </si>
  <si>
    <t>(Castiguri) / Pierderi din reevaluarea investitiilor imobiliare</t>
  </si>
  <si>
    <t>(Gain) / Loss on revaluation of investment property</t>
  </si>
  <si>
    <t>(Castiguri) / Pierderi din reevaluarea activelor detinute in vederea vanzarii</t>
  </si>
  <si>
    <t>(Gain) / Loss on revaluation of assets held for sale</t>
  </si>
  <si>
    <t>(Castig) / Pierdere din investitii pe termen scurt</t>
  </si>
  <si>
    <t>(Gain) / Loss from short-term investments</t>
  </si>
  <si>
    <t>(Castiguri) / Pierderi din ponderea de profit a asociatilor</t>
  </si>
  <si>
    <t>(Gain) / Loss on share of profit of associates</t>
  </si>
  <si>
    <t>(Crestere) / Descrestere provizioane</t>
  </si>
  <si>
    <t>Increase / Decrease in provisions</t>
  </si>
  <si>
    <t>Cresteri / (Descresteri) privind subventiile</t>
  </si>
  <si>
    <t>Increases /(decreases) in subsidies</t>
  </si>
  <si>
    <t>Mişcări în capitalul circulant:</t>
  </si>
  <si>
    <t>Movements in working capital:</t>
  </si>
  <si>
    <t>(Creştere) / Descreştere creanţe comerciale şi alte creanţe</t>
  </si>
  <si>
    <t>(Increase) / Decrease in trade and other receivables</t>
  </si>
  <si>
    <t>(Creştere) / Descrestere stocuri</t>
  </si>
  <si>
    <t>(Increase) / Decrease  in inventories</t>
  </si>
  <si>
    <t>(Creştere) / Descreştere alte active</t>
  </si>
  <si>
    <t>(Increase) / Decrease in other assets</t>
  </si>
  <si>
    <t>Creştere / (Descrestere) datorii comerciale şi alte datorii</t>
  </si>
  <si>
    <t>Increase / (Decrease) in trade and other payables</t>
  </si>
  <si>
    <t>Creştere / (Descreştere) alte datorii</t>
  </si>
  <si>
    <t>Increase / (Decrease) in other payables</t>
  </si>
  <si>
    <t>Total ajustări pentru reconcilierea profitului (pierderii)</t>
  </si>
  <si>
    <t>Cash generated by/used in operating activities</t>
  </si>
  <si>
    <t>Dobânzi plătite</t>
  </si>
  <si>
    <t>Interest paid</t>
  </si>
  <si>
    <t>Impozit pe profit plătit</t>
  </si>
  <si>
    <t>Income tax paid</t>
  </si>
  <si>
    <t>Comisioane bancare plătite</t>
  </si>
  <si>
    <t>Bank commissions paid</t>
  </si>
  <si>
    <t>Numerar net generat din/utilizat in activităţi operaţionale</t>
  </si>
  <si>
    <t>Net cash generated by/utilized in operating activities</t>
  </si>
  <si>
    <t>Fluxurile de trezorerie provenite din (folosite în) activitățile de investiție</t>
  </si>
  <si>
    <t>Cash flows from investing activities:</t>
  </si>
  <si>
    <t>Plăţi aferente imobilizărilor corporale</t>
  </si>
  <si>
    <t>Payments for property, plant and equipment</t>
  </si>
  <si>
    <t>Plati aferente activelor detinute spre vanzare</t>
  </si>
  <si>
    <t>Payments for assets held for sale</t>
  </si>
  <si>
    <t>Plăţi aferente imobilizărilor necorporale</t>
  </si>
  <si>
    <t>Payments for intangible assets</t>
  </si>
  <si>
    <t>Plati aferente investiitilor financiare pe termen scurt  </t>
  </si>
  <si>
    <t>Payments for acquire short-term financial investments</t>
  </si>
  <si>
    <t>Încasări din vânzarea de imobilizări corporale</t>
  </si>
  <si>
    <t>Proceeds from disposal of property, plant and equipment</t>
  </si>
  <si>
    <t>Încasări din subventii</t>
  </si>
  <si>
    <t>Proceeds from subsidies</t>
  </si>
  <si>
    <t>Încasări din investitii in asociati</t>
  </si>
  <si>
    <t>Proceeds from investments in associates</t>
  </si>
  <si>
    <t>Incasari din vanzarea investitiilor financiare</t>
  </si>
  <si>
    <t>Proceeds from disposal of financial assets</t>
  </si>
  <si>
    <t>Incasari din vanzarea investitiilor financiare pe termen scurt</t>
  </si>
  <si>
    <t>Proceeds from selling short-term financial investments</t>
  </si>
  <si>
    <t>Achizitie de subsidiare</t>
  </si>
  <si>
    <t>Acquisitions of subsidiaries</t>
  </si>
  <si>
    <t>Plati aferente investiitilor imobiliare</t>
  </si>
  <si>
    <t>Payments for investment properties</t>
  </si>
  <si>
    <t>Încasări din vânzarea de investitii imobiliare</t>
  </si>
  <si>
    <t>Proceeds from sale of investment property</t>
  </si>
  <si>
    <t>Încasări din vânzarea de active detinute in vederea vanzarii</t>
  </si>
  <si>
    <t>Proceeds from sale of assets held for sales</t>
  </si>
  <si>
    <t>Dobânzi primite</t>
  </si>
  <si>
    <t>Interest received</t>
  </si>
  <si>
    <t>Dividende primite</t>
  </si>
  <si>
    <t>Dividends received</t>
  </si>
  <si>
    <t>Numerar net generat / (utilizat) în activitati de investitii</t>
  </si>
  <si>
    <t xml:space="preserve">Net cash generated by / (used in) investing activities </t>
  </si>
  <si>
    <t>Fluxuri de trezorerie provenite din (folosite în) activitati de finantare</t>
  </si>
  <si>
    <t>Cash flows from financing activities:</t>
  </si>
  <si>
    <t>Incasari din/rambursari de împrumuturi</t>
  </si>
  <si>
    <t>Proceeds from/Repayment of borrowing</t>
  </si>
  <si>
    <t>Plăţi de leasing</t>
  </si>
  <si>
    <t>Lease payments</t>
  </si>
  <si>
    <t>Dividende platite</t>
  </si>
  <si>
    <t>Dividends paid</t>
  </si>
  <si>
    <t>Numerar net generat / (utilizat) în activitatea financiară</t>
  </si>
  <si>
    <t>Net cash generated by / (used) by financing activities</t>
  </si>
  <si>
    <t>Cresterea / (Descresterea) netă a numerarului şi a echivalentelor de numerar înainte de efectul diferențelor de conversie</t>
  </si>
  <si>
    <t>Net decrease / (increase) in cash and cash equivalents</t>
  </si>
  <si>
    <t>Efectul diferențelor de conversie asupra numerarului şi a echivalentelor de numerar</t>
  </si>
  <si>
    <t>The effect of differences in conversion on cash and cash equivalents</t>
  </si>
  <si>
    <t>Cresterea / (Descresterea) netă a numerarului şi a echivalentelor de numerar</t>
  </si>
  <si>
    <t>Numerar şi echivalente de numerar la începutul anului financiar</t>
  </si>
  <si>
    <t>Numerar şi echivalente de numerar la sfârşitul anului financiar</t>
  </si>
  <si>
    <t>Cash and cash equivalents at the end of the year</t>
  </si>
  <si>
    <t>Non-current Government Grants</t>
  </si>
  <si>
    <t>Current Government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</si>
</sst>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_(* #,##0_);_(* \(#,##0\);_(* &quot;-&quot;??_);_(@_)"/>
    <numFmt numFmtId="170" formatCode="_-* #,##0.0000000\ _l_e_i_-;\-* #,##0.0000000\ _l_e_i_-;_-* &quot;-&quot;??\ _l_e_i_-;_-@_-"/>
    <numFmt numFmtId="171" formatCode="_(* #,##0.00000_);_(* \(#,##0.00000\);_(* &quot;-&quot;_);_(@_)"/>
    <numFmt numFmtId="172" formatCode="0.0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i/>
      <sz val="11"/>
      <color theme="0"/>
      <name val="Candara"/>
      <family val="2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sz val="10.5"/>
      <color theme="1"/>
      <name val="Candara"/>
      <family val="2"/>
    </font>
    <font>
      <i/>
      <sz val="10.5"/>
      <color theme="1"/>
      <name val="Candara"/>
      <family val="2"/>
    </font>
    <font>
      <i/>
      <sz val="11"/>
      <color theme="9" tint="-0.499984740745262"/>
      <name val="Candara"/>
      <family val="2"/>
    </font>
    <font>
      <sz val="12"/>
      <name val="Candara"/>
      <family val="2"/>
    </font>
    <font>
      <i/>
      <sz val="12"/>
      <color theme="9" tint="-0.499984740745262"/>
      <name val="Candara"/>
      <family val="2"/>
    </font>
    <font>
      <sz val="12"/>
      <color theme="1"/>
      <name val="Candara"/>
      <family val="2"/>
    </font>
    <font>
      <b/>
      <sz val="12"/>
      <name val="Candara"/>
      <family val="2"/>
    </font>
    <font>
      <i/>
      <sz val="12"/>
      <name val="Candara"/>
      <family val="2"/>
    </font>
    <font>
      <b/>
      <sz val="12"/>
      <color theme="3" tint="-0.499984740745262"/>
      <name val="Candara"/>
      <family val="2"/>
    </font>
    <font>
      <sz val="12"/>
      <color theme="3" tint="-0.499984740745262"/>
      <name val="Candara"/>
      <family val="2"/>
    </font>
    <font>
      <b/>
      <i/>
      <sz val="12"/>
      <name val="Candara"/>
      <family val="2"/>
    </font>
    <font>
      <i/>
      <sz val="12"/>
      <color theme="1"/>
      <name val="Candara"/>
      <family val="2"/>
    </font>
    <font>
      <i/>
      <u/>
      <sz val="11"/>
      <name val="Candara"/>
      <family val="2"/>
    </font>
    <font>
      <b/>
      <u/>
      <sz val="11"/>
      <color theme="1"/>
      <name val="Candara"/>
      <family val="2"/>
    </font>
    <font>
      <sz val="11"/>
      <color indexed="8"/>
      <name val="Candara"/>
      <family val="2"/>
    </font>
    <font>
      <b/>
      <sz val="11"/>
      <color theme="3" tint="-0.499984740745262"/>
      <name val="Candara"/>
      <family val="2"/>
    </font>
    <font>
      <b/>
      <sz val="11"/>
      <color rgb="FF000000"/>
      <name val="Candara"/>
      <family val="2"/>
    </font>
    <font>
      <b/>
      <sz val="11"/>
      <name val="Candara"/>
      <family val="2"/>
      <charset val="238"/>
    </font>
    <font>
      <sz val="11"/>
      <color rgb="FF000000"/>
      <name val="Candar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3E1E1"/>
        <bgColor indexed="64"/>
      </patternFill>
    </fill>
    <fill>
      <patternFill patternType="solid">
        <fgColor rgb="FFE1DFDF"/>
        <bgColor indexed="64"/>
      </patternFill>
    </fill>
    <fill>
      <patternFill patternType="solid">
        <fgColor rgb="FF219EBC"/>
        <bgColor indexed="64"/>
      </patternFill>
    </fill>
    <fill>
      <patternFill patternType="solid">
        <fgColor rgb="FFEAEDF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Dashed">
        <color theme="9" tint="-0.499984740745262"/>
      </left>
      <right style="mediumDashed">
        <color theme="9" tint="-0.499984740745262"/>
      </right>
      <top style="mediumDashed">
        <color theme="9" tint="-0.499984740745262"/>
      </top>
      <bottom/>
      <diagonal/>
    </border>
    <border>
      <left style="mediumDashed">
        <color theme="9" tint="-0.499984740745262"/>
      </left>
      <right style="mediumDashed">
        <color theme="9" tint="-0.499984740745262"/>
      </right>
      <top/>
      <bottom style="thick">
        <color auto="1"/>
      </bottom>
      <diagonal/>
    </border>
    <border>
      <left style="mediumDashed">
        <color theme="9" tint="-0.499984740745262"/>
      </left>
      <right style="mediumDashed">
        <color theme="9" tint="-0.499984740745262"/>
      </right>
      <top/>
      <bottom/>
      <diagonal/>
    </border>
    <border>
      <left style="mediumDashed">
        <color theme="9" tint="-0.499984740745262"/>
      </left>
      <right style="mediumDashed">
        <color theme="9" tint="-0.499984740745262"/>
      </right>
      <top/>
      <bottom style="mediumDashed">
        <color theme="9" tint="-0.499984740745262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0" fontId="17" fillId="5" borderId="3" applyNumberFormat="0" applyBorder="0" applyProtection="0">
      <alignment vertical="center"/>
    </xf>
  </cellStyleXfs>
  <cellXfs count="232">
    <xf numFmtId="0" fontId="0" fillId="0" borderId="0" xfId="0"/>
    <xf numFmtId="0" fontId="6" fillId="0" borderId="0" xfId="0" applyFont="1"/>
    <xf numFmtId="164" fontId="9" fillId="2" borderId="0" xfId="3" applyNumberFormat="1" applyFont="1" applyFill="1" applyAlignment="1">
      <alignment wrapText="1"/>
    </xf>
    <xf numFmtId="3" fontId="11" fillId="2" borderId="0" xfId="0" applyNumberFormat="1" applyFont="1" applyFill="1"/>
    <xf numFmtId="0" fontId="9" fillId="0" borderId="0" xfId="0" applyFont="1"/>
    <xf numFmtId="0" fontId="14" fillId="0" borderId="0" xfId="0" applyFont="1"/>
    <xf numFmtId="3" fontId="15" fillId="4" borderId="0" xfId="0" applyNumberFormat="1" applyFont="1" applyFill="1"/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0" fontId="3" fillId="0" borderId="0" xfId="0" applyFont="1"/>
    <xf numFmtId="0" fontId="3" fillId="6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0" fontId="27" fillId="0" borderId="0" xfId="0" applyFont="1"/>
    <xf numFmtId="0" fontId="1" fillId="0" borderId="0" xfId="0" applyFont="1"/>
    <xf numFmtId="0" fontId="1" fillId="6" borderId="0" xfId="0" applyFont="1" applyFill="1"/>
    <xf numFmtId="167" fontId="3" fillId="0" borderId="0" xfId="0" applyNumberFormat="1" applyFont="1"/>
    <xf numFmtId="0" fontId="1" fillId="8" borderId="0" xfId="0" applyFont="1" applyFill="1" applyAlignment="1">
      <alignment horizontal="left"/>
    </xf>
    <xf numFmtId="43" fontId="3" fillId="0" borderId="0" xfId="1" applyFont="1"/>
    <xf numFmtId="167" fontId="1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center"/>
    </xf>
    <xf numFmtId="167" fontId="3" fillId="8" borderId="0" xfId="0" applyNumberFormat="1" applyFont="1" applyFill="1"/>
    <xf numFmtId="9" fontId="3" fillId="0" borderId="0" xfId="2" applyFont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3" fontId="9" fillId="2" borderId="0" xfId="3" applyNumberFormat="1" applyFont="1" applyFill="1" applyAlignment="1">
      <alignment horizontal="right" wrapText="1"/>
    </xf>
    <xf numFmtId="0" fontId="1" fillId="9" borderId="0" xfId="0" applyFont="1" applyFill="1"/>
    <xf numFmtId="0" fontId="6" fillId="9" borderId="0" xfId="0" applyFont="1" applyFill="1"/>
    <xf numFmtId="165" fontId="32" fillId="9" borderId="0" xfId="1" applyNumberFormat="1" applyFont="1" applyFill="1"/>
    <xf numFmtId="0" fontId="32" fillId="9" borderId="0" xfId="0" applyFont="1" applyFill="1"/>
    <xf numFmtId="0" fontId="6" fillId="9" borderId="0" xfId="0" applyFont="1" applyFill="1" applyAlignment="1">
      <alignment vertical="center"/>
    </xf>
    <xf numFmtId="164" fontId="9" fillId="9" borderId="0" xfId="3" applyNumberFormat="1" applyFont="1" applyFill="1" applyAlignment="1">
      <alignment vertical="center"/>
    </xf>
    <xf numFmtId="164" fontId="10" fillId="9" borderId="0" xfId="3" applyNumberFormat="1" applyFont="1" applyFill="1" applyAlignment="1">
      <alignment vertical="center"/>
    </xf>
    <xf numFmtId="164" fontId="9" fillId="9" borderId="0" xfId="3" applyNumberFormat="1" applyFont="1" applyFill="1" applyAlignment="1">
      <alignment wrapText="1"/>
    </xf>
    <xf numFmtId="3" fontId="9" fillId="9" borderId="0" xfId="0" applyNumberFormat="1" applyFont="1" applyFill="1"/>
    <xf numFmtId="9" fontId="9" fillId="9" borderId="0" xfId="2" applyFont="1" applyFill="1"/>
    <xf numFmtId="9" fontId="9" fillId="9" borderId="0" xfId="2" applyFont="1" applyFill="1" applyAlignment="1">
      <alignment horizontal="center" vertical="center"/>
    </xf>
    <xf numFmtId="0" fontId="14" fillId="9" borderId="0" xfId="0" applyFont="1" applyFill="1"/>
    <xf numFmtId="0" fontId="20" fillId="11" borderId="0" xfId="0" applyFont="1" applyFill="1" applyAlignment="1">
      <alignment vertical="center"/>
    </xf>
    <xf numFmtId="0" fontId="0" fillId="11" borderId="0" xfId="0" applyFill="1"/>
    <xf numFmtId="0" fontId="21" fillId="11" borderId="0" xfId="0" applyFont="1" applyFill="1" applyAlignment="1">
      <alignment horizontal="justify" vertical="center"/>
    </xf>
    <xf numFmtId="0" fontId="22" fillId="11" borderId="0" xfId="0" applyFont="1" applyFill="1"/>
    <xf numFmtId="0" fontId="12" fillId="11" borderId="0" xfId="0" applyFont="1" applyFill="1"/>
    <xf numFmtId="0" fontId="6" fillId="11" borderId="0" xfId="0" applyFont="1" applyFill="1"/>
    <xf numFmtId="0" fontId="23" fillId="11" borderId="0" xfId="5" applyFont="1" applyFill="1" applyAlignment="1"/>
    <xf numFmtId="0" fontId="0" fillId="10" borderId="0" xfId="0" applyFill="1"/>
    <xf numFmtId="0" fontId="9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vertical="top" wrapText="1"/>
    </xf>
    <xf numFmtId="0" fontId="10" fillId="10" borderId="0" xfId="0" applyFont="1" applyFill="1" applyAlignment="1">
      <alignment vertical="top" wrapText="1"/>
    </xf>
    <xf numFmtId="0" fontId="26" fillId="10" borderId="0" xfId="0" applyFont="1" applyFill="1"/>
    <xf numFmtId="0" fontId="25" fillId="10" borderId="0" xfId="0" applyFont="1" applyFill="1"/>
    <xf numFmtId="164" fontId="33" fillId="2" borderId="0" xfId="4" applyNumberFormat="1" applyFont="1" applyFill="1" applyAlignment="1">
      <alignment vertical="center"/>
    </xf>
    <xf numFmtId="0" fontId="33" fillId="2" borderId="0" xfId="0" applyFont="1" applyFill="1"/>
    <xf numFmtId="165" fontId="34" fillId="2" borderId="0" xfId="1" applyNumberFormat="1" applyFont="1" applyFill="1"/>
    <xf numFmtId="0" fontId="34" fillId="2" borderId="0" xfId="0" applyFont="1" applyFill="1"/>
    <xf numFmtId="0" fontId="35" fillId="0" borderId="0" xfId="0" applyFont="1"/>
    <xf numFmtId="0" fontId="35" fillId="0" borderId="0" xfId="0" applyFont="1" applyAlignment="1">
      <alignment vertical="center"/>
    </xf>
    <xf numFmtId="164" fontId="33" fillId="2" borderId="0" xfId="3" applyNumberFormat="1" applyFont="1" applyFill="1" applyAlignment="1">
      <alignment wrapText="1"/>
    </xf>
    <xf numFmtId="3" fontId="33" fillId="2" borderId="0" xfId="0" applyNumberFormat="1" applyFont="1" applyFill="1"/>
    <xf numFmtId="9" fontId="33" fillId="2" borderId="0" xfId="2" applyFont="1" applyFill="1"/>
    <xf numFmtId="164" fontId="33" fillId="2" borderId="0" xfId="3" applyNumberFormat="1" applyFont="1" applyFill="1" applyAlignment="1">
      <alignment vertical="center"/>
    </xf>
    <xf numFmtId="164" fontId="33" fillId="2" borderId="0" xfId="3" applyNumberFormat="1" applyFont="1" applyFill="1" applyAlignment="1">
      <alignment vertical="center" wrapText="1"/>
    </xf>
    <xf numFmtId="164" fontId="36" fillId="2" borderId="1" xfId="3" applyNumberFormat="1" applyFont="1" applyFill="1" applyBorder="1" applyAlignment="1">
      <alignment vertical="center"/>
    </xf>
    <xf numFmtId="3" fontId="36" fillId="2" borderId="1" xfId="0" applyNumberFormat="1" applyFont="1" applyFill="1" applyBorder="1"/>
    <xf numFmtId="0" fontId="29" fillId="0" borderId="0" xfId="0" applyFont="1"/>
    <xf numFmtId="3" fontId="33" fillId="2" borderId="1" xfId="0" applyNumberFormat="1" applyFont="1" applyFill="1" applyBorder="1"/>
    <xf numFmtId="9" fontId="33" fillId="2" borderId="1" xfId="2" applyFont="1" applyFill="1" applyBorder="1"/>
    <xf numFmtId="9" fontId="33" fillId="2" borderId="0" xfId="2" applyFont="1" applyFill="1" applyAlignment="1">
      <alignment horizontal="right"/>
    </xf>
    <xf numFmtId="0" fontId="33" fillId="0" borderId="0" xfId="0" applyFont="1"/>
    <xf numFmtId="3" fontId="37" fillId="2" borderId="0" xfId="0" applyNumberFormat="1" applyFont="1" applyFill="1"/>
    <xf numFmtId="9" fontId="37" fillId="2" borderId="0" xfId="2" applyFont="1" applyFill="1"/>
    <xf numFmtId="164" fontId="38" fillId="2" borderId="1" xfId="3" applyNumberFormat="1" applyFont="1" applyFill="1" applyBorder="1" applyAlignment="1">
      <alignment vertical="center"/>
    </xf>
    <xf numFmtId="3" fontId="36" fillId="2" borderId="1" xfId="0" applyNumberFormat="1" applyFont="1" applyFill="1" applyBorder="1" applyAlignment="1">
      <alignment vertical="center"/>
    </xf>
    <xf numFmtId="164" fontId="36" fillId="2" borderId="1" xfId="3" applyNumberFormat="1" applyFont="1" applyFill="1" applyBorder="1" applyAlignment="1">
      <alignment vertical="center" wrapText="1"/>
    </xf>
    <xf numFmtId="9" fontId="36" fillId="2" borderId="1" xfId="2" applyFont="1" applyFill="1" applyBorder="1" applyAlignment="1">
      <alignment vertical="center"/>
    </xf>
    <xf numFmtId="0" fontId="38" fillId="0" borderId="0" xfId="0" applyFont="1" applyAlignment="1">
      <alignment vertical="center"/>
    </xf>
    <xf numFmtId="9" fontId="38" fillId="2" borderId="1" xfId="2" applyFont="1" applyFill="1" applyBorder="1" applyAlignment="1">
      <alignment vertical="center"/>
    </xf>
    <xf numFmtId="0" fontId="39" fillId="0" borderId="0" xfId="0" applyFont="1"/>
    <xf numFmtId="9" fontId="39" fillId="2" borderId="0" xfId="2" applyFont="1" applyFill="1"/>
    <xf numFmtId="0" fontId="38" fillId="0" borderId="0" xfId="0" applyFont="1"/>
    <xf numFmtId="3" fontId="36" fillId="2" borderId="0" xfId="0" applyNumberFormat="1" applyFont="1" applyFill="1"/>
    <xf numFmtId="164" fontId="36" fillId="2" borderId="0" xfId="3" applyNumberFormat="1" applyFont="1" applyFill="1" applyAlignment="1">
      <alignment wrapText="1"/>
    </xf>
    <xf numFmtId="9" fontId="36" fillId="2" borderId="0" xfId="2" applyFont="1" applyFill="1"/>
    <xf numFmtId="9" fontId="38" fillId="2" borderId="4" xfId="2" applyFont="1" applyFill="1" applyBorder="1"/>
    <xf numFmtId="164" fontId="38" fillId="2" borderId="2" xfId="3" applyNumberFormat="1" applyFont="1" applyFill="1" applyBorder="1" applyAlignment="1">
      <alignment vertical="center"/>
    </xf>
    <xf numFmtId="3" fontId="38" fillId="2" borderId="2" xfId="0" applyNumberFormat="1" applyFont="1" applyFill="1" applyBorder="1"/>
    <xf numFmtId="3" fontId="36" fillId="2" borderId="2" xfId="0" applyNumberFormat="1" applyFont="1" applyFill="1" applyBorder="1"/>
    <xf numFmtId="165" fontId="38" fillId="2" borderId="2" xfId="1" applyNumberFormat="1" applyFont="1" applyFill="1" applyBorder="1" applyAlignment="1">
      <alignment horizontal="right"/>
    </xf>
    <xf numFmtId="9" fontId="39" fillId="2" borderId="2" xfId="2" applyFont="1" applyFill="1" applyBorder="1"/>
    <xf numFmtId="168" fontId="35" fillId="0" borderId="0" xfId="0" applyNumberFormat="1" applyFont="1"/>
    <xf numFmtId="0" fontId="35" fillId="3" borderId="0" xfId="0" applyFont="1" applyFill="1" applyAlignment="1">
      <alignment vertical="center"/>
    </xf>
    <xf numFmtId="164" fontId="37" fillId="2" borderId="0" xfId="3" applyNumberFormat="1" applyFont="1" applyFill="1" applyAlignment="1">
      <alignment vertical="center"/>
    </xf>
    <xf numFmtId="164" fontId="40" fillId="2" borderId="1" xfId="3" applyNumberFormat="1" applyFont="1" applyFill="1" applyBorder="1" applyAlignment="1">
      <alignment vertical="center"/>
    </xf>
    <xf numFmtId="164" fontId="40" fillId="2" borderId="0" xfId="3" applyNumberFormat="1" applyFont="1" applyFill="1" applyAlignment="1">
      <alignment vertical="center"/>
    </xf>
    <xf numFmtId="9" fontId="38" fillId="2" borderId="0" xfId="2" applyFont="1" applyFill="1" applyBorder="1" applyAlignment="1">
      <alignment vertical="center"/>
    </xf>
    <xf numFmtId="0" fontId="41" fillId="0" borderId="0" xfId="0" applyFont="1"/>
    <xf numFmtId="0" fontId="11" fillId="10" borderId="0" xfId="0" applyFont="1" applyFill="1"/>
    <xf numFmtId="0" fontId="1" fillId="9" borderId="0" xfId="0" applyFont="1" applyFill="1" applyAlignment="1">
      <alignment wrapText="1"/>
    </xf>
    <xf numFmtId="0" fontId="26" fillId="10" borderId="0" xfId="0" applyFont="1" applyFill="1" applyAlignment="1">
      <alignment horizontal="left" vertical="top" wrapText="1"/>
    </xf>
    <xf numFmtId="0" fontId="19" fillId="11" borderId="0" xfId="0" applyFont="1" applyFill="1"/>
    <xf numFmtId="0" fontId="3" fillId="12" borderId="0" xfId="0" applyFont="1" applyFill="1"/>
    <xf numFmtId="0" fontId="19" fillId="12" borderId="0" xfId="0" applyFont="1" applyFill="1"/>
    <xf numFmtId="0" fontId="29" fillId="12" borderId="0" xfId="0" applyFont="1" applyFill="1"/>
    <xf numFmtId="0" fontId="30" fillId="12" borderId="0" xfId="0" applyFont="1" applyFill="1"/>
    <xf numFmtId="165" fontId="32" fillId="12" borderId="0" xfId="1" applyNumberFormat="1" applyFont="1" applyFill="1"/>
    <xf numFmtId="0" fontId="32" fillId="12" borderId="0" xfId="0" applyFont="1" applyFill="1"/>
    <xf numFmtId="164" fontId="8" fillId="12" borderId="0" xfId="3" applyNumberFormat="1" applyFont="1" applyFill="1" applyAlignment="1">
      <alignment vertical="center"/>
    </xf>
    <xf numFmtId="3" fontId="8" fillId="12" borderId="0" xfId="0" applyNumberFormat="1" applyFont="1" applyFill="1"/>
    <xf numFmtId="10" fontId="8" fillId="12" borderId="0" xfId="2" applyNumberFormat="1" applyFont="1" applyFill="1"/>
    <xf numFmtId="164" fontId="7" fillId="12" borderId="1" xfId="3" applyNumberFormat="1" applyFont="1" applyFill="1" applyBorder="1" applyAlignment="1">
      <alignment vertical="center"/>
    </xf>
    <xf numFmtId="3" fontId="7" fillId="12" borderId="1" xfId="0" applyNumberFormat="1" applyFont="1" applyFill="1" applyBorder="1"/>
    <xf numFmtId="10" fontId="7" fillId="12" borderId="1" xfId="2" applyNumberFormat="1" applyFont="1" applyFill="1" applyBorder="1"/>
    <xf numFmtId="164" fontId="8" fillId="12" borderId="0" xfId="3" applyNumberFormat="1" applyFont="1" applyFill="1" applyAlignment="1">
      <alignment vertical="center" wrapText="1"/>
    </xf>
    <xf numFmtId="164" fontId="8" fillId="12" borderId="0" xfId="3" applyNumberFormat="1" applyFont="1" applyFill="1" applyAlignment="1">
      <alignment horizontal="left" vertical="center" wrapText="1"/>
    </xf>
    <xf numFmtId="0" fontId="31" fillId="12" borderId="0" xfId="0" applyFont="1" applyFill="1"/>
    <xf numFmtId="3" fontId="30" fillId="12" borderId="0" xfId="0" applyNumberFormat="1" applyFont="1" applyFill="1"/>
    <xf numFmtId="43" fontId="6" fillId="0" borderId="0" xfId="1" applyFont="1"/>
    <xf numFmtId="10" fontId="6" fillId="0" borderId="0" xfId="2" applyNumberFormat="1" applyFont="1"/>
    <xf numFmtId="168" fontId="6" fillId="0" borderId="0" xfId="0" applyNumberFormat="1" applyFont="1"/>
    <xf numFmtId="10" fontId="35" fillId="0" borderId="0" xfId="2" applyNumberFormat="1" applyFont="1"/>
    <xf numFmtId="9" fontId="1" fillId="9" borderId="0" xfId="2" applyFont="1" applyFill="1"/>
    <xf numFmtId="3" fontId="8" fillId="13" borderId="0" xfId="0" applyNumberFormat="1" applyFont="1" applyFill="1"/>
    <xf numFmtId="3" fontId="7" fillId="13" borderId="1" xfId="0" applyNumberFormat="1" applyFont="1" applyFill="1" applyBorder="1"/>
    <xf numFmtId="3" fontId="8" fillId="13" borderId="0" xfId="0" applyNumberFormat="1" applyFont="1" applyFill="1" applyAlignment="1">
      <alignment horizontal="right" vertical="center"/>
    </xf>
    <xf numFmtId="3" fontId="12" fillId="2" borderId="0" xfId="0" applyNumberFormat="1" applyFont="1" applyFill="1"/>
    <xf numFmtId="9" fontId="36" fillId="2" borderId="1" xfId="2" applyFont="1" applyFill="1" applyBorder="1" applyAlignment="1">
      <alignment horizontal="right"/>
    </xf>
    <xf numFmtId="43" fontId="30" fillId="12" borderId="0" xfId="1" applyFont="1" applyFill="1"/>
    <xf numFmtId="3" fontId="35" fillId="0" borderId="0" xfId="0" applyNumberFormat="1" applyFont="1"/>
    <xf numFmtId="170" fontId="6" fillId="0" borderId="0" xfId="0" applyNumberFormat="1" applyFont="1"/>
    <xf numFmtId="171" fontId="6" fillId="9" borderId="0" xfId="0" applyNumberFormat="1" applyFont="1" applyFill="1"/>
    <xf numFmtId="172" fontId="6" fillId="9" borderId="0" xfId="0" applyNumberFormat="1" applyFont="1" applyFill="1"/>
    <xf numFmtId="164" fontId="9" fillId="2" borderId="0" xfId="3" applyNumberFormat="1" applyFont="1" applyFill="1" applyAlignment="1">
      <alignment vertical="center"/>
    </xf>
    <xf numFmtId="164" fontId="10" fillId="2" borderId="1" xfId="3" applyNumberFormat="1" applyFont="1" applyFill="1" applyBorder="1" applyAlignment="1">
      <alignment vertical="center"/>
    </xf>
    <xf numFmtId="164" fontId="44" fillId="2" borderId="0" xfId="4" applyNumberFormat="1" applyFont="1" applyFill="1" applyAlignment="1">
      <alignment vertical="center"/>
    </xf>
    <xf numFmtId="3" fontId="45" fillId="2" borderId="1" xfId="0" applyNumberFormat="1" applyFont="1" applyFill="1" applyBorder="1" applyAlignment="1">
      <alignment vertical="center"/>
    </xf>
    <xf numFmtId="3" fontId="45" fillId="2" borderId="0" xfId="0" applyNumberFormat="1" applyFont="1" applyFill="1"/>
    <xf numFmtId="3" fontId="9" fillId="2" borderId="0" xfId="0" applyNumberFormat="1" applyFont="1" applyFill="1"/>
    <xf numFmtId="3" fontId="10" fillId="2" borderId="1" xfId="0" applyNumberFormat="1" applyFont="1" applyFill="1" applyBorder="1"/>
    <xf numFmtId="3" fontId="1" fillId="0" borderId="0" xfId="0" applyNumberFormat="1" applyFont="1"/>
    <xf numFmtId="164" fontId="1" fillId="9" borderId="0" xfId="0" applyNumberFormat="1" applyFont="1" applyFill="1"/>
    <xf numFmtId="3" fontId="8" fillId="14" borderId="0" xfId="0" applyNumberFormat="1" applyFont="1" applyFill="1"/>
    <xf numFmtId="10" fontId="8" fillId="14" borderId="0" xfId="2" applyNumberFormat="1" applyFont="1" applyFill="1"/>
    <xf numFmtId="3" fontId="7" fillId="14" borderId="1" xfId="0" applyNumberFormat="1" applyFont="1" applyFill="1" applyBorder="1"/>
    <xf numFmtId="10" fontId="7" fillId="14" borderId="1" xfId="2" applyNumberFormat="1" applyFont="1" applyFill="1" applyBorder="1"/>
    <xf numFmtId="3" fontId="8" fillId="14" borderId="0" xfId="0" applyNumberFormat="1" applyFont="1" applyFill="1" applyAlignment="1">
      <alignment horizontal="right" vertical="center"/>
    </xf>
    <xf numFmtId="164" fontId="7" fillId="14" borderId="1" xfId="3" applyNumberFormat="1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10" fontId="7" fillId="14" borderId="1" xfId="2" applyNumberFormat="1" applyFont="1" applyFill="1" applyBorder="1" applyAlignment="1">
      <alignment horizontal="center" vertical="center" wrapText="1"/>
    </xf>
    <xf numFmtId="15" fontId="10" fillId="14" borderId="6" xfId="1" applyNumberFormat="1" applyFont="1" applyFill="1" applyBorder="1" applyAlignment="1">
      <alignment horizontal="center" vertical="center" wrapText="1"/>
    </xf>
    <xf numFmtId="0" fontId="29" fillId="14" borderId="0" xfId="0" applyFont="1" applyFill="1"/>
    <xf numFmtId="164" fontId="36" fillId="14" borderId="1" xfId="3" applyNumberFormat="1" applyFont="1" applyFill="1" applyBorder="1" applyAlignment="1">
      <alignment vertical="center"/>
    </xf>
    <xf numFmtId="0" fontId="10" fillId="14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164" fontId="9" fillId="14" borderId="0" xfId="3" applyNumberFormat="1" applyFont="1" applyFill="1" applyAlignment="1">
      <alignment wrapText="1"/>
    </xf>
    <xf numFmtId="164" fontId="9" fillId="14" borderId="0" xfId="3" applyNumberFormat="1" applyFont="1" applyFill="1" applyAlignment="1">
      <alignment vertical="center"/>
    </xf>
    <xf numFmtId="164" fontId="10" fillId="14" borderId="1" xfId="3" applyNumberFormat="1" applyFont="1" applyFill="1" applyBorder="1" applyAlignment="1">
      <alignment vertical="center"/>
    </xf>
    <xf numFmtId="164" fontId="44" fillId="14" borderId="0" xfId="4" applyNumberFormat="1" applyFont="1" applyFill="1" applyAlignment="1">
      <alignment vertical="center"/>
    </xf>
    <xf numFmtId="9" fontId="40" fillId="14" borderId="0" xfId="2" applyFont="1" applyFill="1"/>
    <xf numFmtId="9" fontId="36" fillId="14" borderId="1" xfId="2" applyFont="1" applyFill="1" applyBorder="1" applyAlignment="1">
      <alignment vertical="center"/>
    </xf>
    <xf numFmtId="9" fontId="36" fillId="14" borderId="0" xfId="2" applyFont="1" applyFill="1"/>
    <xf numFmtId="9" fontId="36" fillId="14" borderId="4" xfId="2" applyFont="1" applyFill="1" applyBorder="1"/>
    <xf numFmtId="9" fontId="37" fillId="14" borderId="0" xfId="2" applyFont="1" applyFill="1"/>
    <xf numFmtId="10" fontId="9" fillId="14" borderId="0" xfId="2" applyNumberFormat="1" applyFont="1" applyFill="1" applyAlignment="1">
      <alignment horizontal="right" wrapText="1"/>
    </xf>
    <xf numFmtId="166" fontId="9" fillId="14" borderId="0" xfId="3" applyNumberFormat="1" applyFont="1" applyFill="1" applyAlignment="1">
      <alignment horizontal="right" wrapText="1"/>
    </xf>
    <xf numFmtId="9" fontId="9" fillId="14" borderId="0" xfId="2" applyFont="1" applyFill="1" applyAlignment="1">
      <alignment horizontal="right" wrapText="1"/>
    </xf>
    <xf numFmtId="3" fontId="9" fillId="14" borderId="0" xfId="3" applyNumberFormat="1" applyFont="1" applyFill="1" applyAlignment="1">
      <alignment horizontal="right" wrapText="1"/>
    </xf>
    <xf numFmtId="164" fontId="10" fillId="14" borderId="0" xfId="3" applyNumberFormat="1" applyFont="1" applyFill="1" applyAlignment="1">
      <alignment vertical="center"/>
    </xf>
    <xf numFmtId="164" fontId="10" fillId="14" borderId="5" xfId="3" applyNumberFormat="1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9" fillId="14" borderId="0" xfId="0" applyFont="1" applyFill="1"/>
    <xf numFmtId="164" fontId="9" fillId="9" borderId="0" xfId="3" applyNumberFormat="1" applyFont="1" applyFill="1" applyAlignment="1">
      <alignment vertical="center" wrapText="1"/>
    </xf>
    <xf numFmtId="3" fontId="9" fillId="9" borderId="0" xfId="0" applyNumberFormat="1" applyFont="1" applyFill="1" applyAlignment="1">
      <alignment vertical="center"/>
    </xf>
    <xf numFmtId="9" fontId="9" fillId="9" borderId="0" xfId="2" applyFont="1" applyFill="1" applyAlignment="1">
      <alignment vertical="center"/>
    </xf>
    <xf numFmtId="0" fontId="19" fillId="14" borderId="0" xfId="0" applyFont="1" applyFill="1" applyAlignment="1">
      <alignment vertical="center" wrapText="1"/>
    </xf>
    <xf numFmtId="9" fontId="9" fillId="14" borderId="0" xfId="2" applyFont="1" applyFill="1" applyAlignment="1">
      <alignment horizontal="center" vertical="center"/>
    </xf>
    <xf numFmtId="0" fontId="1" fillId="2" borderId="0" xfId="0" applyFont="1" applyFill="1"/>
    <xf numFmtId="164" fontId="1" fillId="0" borderId="0" xfId="0" applyNumberFormat="1" applyFont="1"/>
    <xf numFmtId="164" fontId="6" fillId="0" borderId="0" xfId="0" applyNumberFormat="1" applyFont="1"/>
    <xf numFmtId="169" fontId="9" fillId="0" borderId="7" xfId="0" applyNumberFormat="1" applyFont="1" applyBorder="1"/>
    <xf numFmtId="0" fontId="10" fillId="9" borderId="4" xfId="0" applyFont="1" applyFill="1" applyBorder="1" applyAlignment="1">
      <alignment vertical="center" wrapText="1"/>
    </xf>
    <xf numFmtId="15" fontId="10" fillId="14" borderId="8" xfId="1" applyNumberFormat="1" applyFont="1" applyFill="1" applyBorder="1" applyAlignment="1">
      <alignment horizontal="center" vertical="center" wrapText="1"/>
    </xf>
    <xf numFmtId="0" fontId="46" fillId="14" borderId="0" xfId="0" applyFont="1" applyFill="1" applyAlignment="1">
      <alignment horizontal="left" vertical="center" wrapText="1"/>
    </xf>
    <xf numFmtId="0" fontId="9" fillId="14" borderId="0" xfId="0" applyFont="1" applyFill="1"/>
    <xf numFmtId="0" fontId="9" fillId="14" borderId="9" xfId="0" applyFont="1" applyFill="1" applyBorder="1"/>
    <xf numFmtId="0" fontId="10" fillId="15" borderId="0" xfId="0" applyFont="1" applyFill="1" applyAlignment="1">
      <alignment horizontal="left" vertical="center" wrapText="1" indent="1"/>
    </xf>
    <xf numFmtId="169" fontId="10" fillId="15" borderId="0" xfId="1" applyNumberFormat="1" applyFont="1" applyFill="1"/>
    <xf numFmtId="169" fontId="10" fillId="15" borderId="9" xfId="1" applyNumberFormat="1" applyFont="1" applyFill="1" applyBorder="1"/>
    <xf numFmtId="0" fontId="10" fillId="0" borderId="0" xfId="0" applyFont="1" applyAlignment="1">
      <alignment horizontal="left" vertical="center" wrapText="1" indent="1"/>
    </xf>
    <xf numFmtId="169" fontId="9" fillId="0" borderId="0" xfId="1" applyNumberFormat="1" applyFont="1" applyFill="1"/>
    <xf numFmtId="169" fontId="9" fillId="0" borderId="9" xfId="1" applyNumberFormat="1" applyFont="1" applyFill="1" applyBorder="1"/>
    <xf numFmtId="0" fontId="9" fillId="0" borderId="0" xfId="0" applyFont="1" applyAlignment="1">
      <alignment horizontal="left" vertical="center" wrapText="1" indent="1"/>
    </xf>
    <xf numFmtId="0" fontId="47" fillId="0" borderId="0" xfId="0" applyFont="1" applyAlignment="1">
      <alignment horizontal="left" vertical="center" wrapText="1" indent="1"/>
    </xf>
    <xf numFmtId="0" fontId="46" fillId="3" borderId="0" xfId="0" applyFont="1" applyFill="1" applyAlignment="1">
      <alignment vertical="center" wrapText="1"/>
    </xf>
    <xf numFmtId="169" fontId="10" fillId="0" borderId="0" xfId="0" applyNumberFormat="1" applyFont="1"/>
    <xf numFmtId="0" fontId="10" fillId="11" borderId="0" xfId="0" applyFont="1" applyFill="1" applyAlignment="1">
      <alignment horizontal="left" vertical="center" wrapText="1" indent="1"/>
    </xf>
    <xf numFmtId="169" fontId="10" fillId="11" borderId="0" xfId="0" applyNumberFormat="1" applyFont="1" applyFill="1"/>
    <xf numFmtId="0" fontId="10" fillId="14" borderId="0" xfId="0" applyFont="1" applyFill="1" applyAlignment="1">
      <alignment horizontal="left" vertical="center" wrapText="1" indent="1"/>
    </xf>
    <xf numFmtId="169" fontId="10" fillId="11" borderId="9" xfId="0" applyNumberFormat="1" applyFont="1" applyFill="1" applyBorder="1"/>
    <xf numFmtId="169" fontId="10" fillId="0" borderId="0" xfId="0" applyNumberFormat="1" applyFont="1" applyAlignment="1">
      <alignment vertical="center"/>
    </xf>
    <xf numFmtId="169" fontId="10" fillId="0" borderId="9" xfId="0" applyNumberFormat="1" applyFont="1" applyBorder="1" applyAlignment="1">
      <alignment vertical="center"/>
    </xf>
    <xf numFmtId="0" fontId="48" fillId="3" borderId="0" xfId="0" applyFont="1" applyFill="1" applyAlignment="1">
      <alignment horizontal="left" vertical="center" wrapText="1"/>
    </xf>
    <xf numFmtId="169" fontId="10" fillId="0" borderId="9" xfId="0" applyNumberFormat="1" applyFont="1" applyBorder="1"/>
    <xf numFmtId="3" fontId="10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vertical="center"/>
    </xf>
    <xf numFmtId="43" fontId="1" fillId="2" borderId="0" xfId="1" applyFont="1" applyFill="1"/>
    <xf numFmtId="0" fontId="9" fillId="0" borderId="10" xfId="0" applyFont="1" applyBorder="1"/>
    <xf numFmtId="1" fontId="11" fillId="0" borderId="0" xfId="0" applyNumberFormat="1" applyFont="1"/>
    <xf numFmtId="169" fontId="1" fillId="0" borderId="0" xfId="0" applyNumberFormat="1" applyFont="1"/>
    <xf numFmtId="10" fontId="8" fillId="14" borderId="0" xfId="2" applyNumberFormat="1" applyFont="1" applyFill="1" applyAlignment="1">
      <alignment vertical="center"/>
    </xf>
    <xf numFmtId="0" fontId="42" fillId="10" borderId="0" xfId="0" applyFont="1" applyFill="1" applyAlignment="1">
      <alignment horizontal="left" vertical="top" wrapText="1"/>
    </xf>
    <xf numFmtId="0" fontId="11" fillId="10" borderId="0" xfId="0" applyFont="1" applyFill="1" applyAlignment="1">
      <alignment horizontal="left" vertical="top" wrapText="1"/>
    </xf>
    <xf numFmtId="0" fontId="28" fillId="10" borderId="0" xfId="0" applyFont="1" applyFill="1" applyAlignment="1">
      <alignment horizontal="left"/>
    </xf>
    <xf numFmtId="0" fontId="18" fillId="10" borderId="0" xfId="0" applyFont="1" applyFill="1" applyAlignment="1">
      <alignment horizontal="left"/>
    </xf>
    <xf numFmtId="0" fontId="26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10" fillId="14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left" wrapText="1"/>
    </xf>
    <xf numFmtId="10" fontId="7" fillId="14" borderId="1" xfId="2" applyNumberFormat="1" applyFont="1" applyFill="1" applyBorder="1" applyAlignment="1">
      <alignment horizontal="center" vertical="center" wrapText="1"/>
    </xf>
    <xf numFmtId="0" fontId="36" fillId="14" borderId="1" xfId="0" applyFont="1" applyFill="1" applyBorder="1" applyAlignment="1">
      <alignment horizontal="center" vertical="center"/>
    </xf>
    <xf numFmtId="0" fontId="29" fillId="14" borderId="0" xfId="0" applyFont="1" applyFill="1" applyAlignment="1">
      <alignment horizontal="left"/>
    </xf>
    <xf numFmtId="0" fontId="19" fillId="11" borderId="0" xfId="0" applyFont="1" applyFill="1" applyAlignment="1">
      <alignment horizontal="left"/>
    </xf>
    <xf numFmtId="0" fontId="29" fillId="11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8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219EBC"/>
      <color rgb="FFEAEDF2"/>
      <color rgb="FFE3E1E1"/>
      <color rgb="FF627998"/>
      <color rgb="FFECF5E7"/>
      <color rgb="FFC3DEB0"/>
      <color rgb="FFE92823"/>
      <color rgb="FFFF3B0D"/>
      <color rgb="FFFF6D4B"/>
      <color rgb="FF8BC1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Revenue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evolution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680324174633E-3"/>
          <c:y val="3.6490012257327696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6.7200033864583994E-2"/>
          <c:w val="0.96834461831348051"/>
          <c:h val="0.77774099035766442"/>
        </c:manualLayout>
      </c:layout>
      <c:lineChart>
        <c:grouping val="standard"/>
        <c:varyColors val="0"/>
        <c:ser>
          <c:idx val="1"/>
          <c:order val="0"/>
          <c:spPr>
            <a:ln w="19050" cap="rnd">
              <a:solidFill>
                <a:srgbClr val="EAEDF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'2.Comprehensive income'!$C$3:$G$3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'2.Comprehensive income'!$C$4:$G$4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259383195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200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Candara" panose="020E0502030303020204" pitchFamily="34" charset="0"/>
              </a:rPr>
              <a:t>Evolution of the item</a:t>
            </a:r>
            <a:r>
              <a:rPr lang="en-US" sz="1050" baseline="0">
                <a:solidFill>
                  <a:sysClr val="windowText" lastClr="000000"/>
                </a:solidFill>
                <a:latin typeface="Candara" panose="020E0502030303020204" pitchFamily="34" charset="0"/>
              </a:rPr>
              <a:t> "Revenues"</a:t>
            </a:r>
            <a:endParaRPr lang="en-US" sz="1050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0.3389508456443957"/>
          <c:y val="2.8625006084590884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678477690288722E-2"/>
          <c:y val="0.23985373483334604"/>
          <c:w val="0.94576596675415547"/>
          <c:h val="0.6612460396076108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2.7778082319833402E-3"/>
                  <c:y val="-0.2200903775440674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6D-4DB8-AAC3-ABCA29FF6EA0}"/>
                </c:ext>
              </c:extLst>
            </c:dLbl>
            <c:dLbl>
              <c:idx val="3"/>
              <c:layout>
                <c:manualLayout>
                  <c:x val="-4.8854957133621958E-3"/>
                  <c:y val="-0.2213406329363177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8-4C4A-A228-1681AD085B7D}"/>
                </c:ext>
              </c:extLst>
            </c:dLbl>
            <c:dLbl>
              <c:idx val="4"/>
              <c:layout>
                <c:manualLayout>
                  <c:x val="-4.5504353380599544E-3"/>
                  <c:y val="-0.1615099509985591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8-4C4A-A228-1681AD085B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Snapshots!$D$4:$H$4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259383195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6D-4DB8-AAC3-ABCA29FF6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651171103"/>
        <c:axId val="1660750815"/>
      </c:barChart>
      <c:catAx>
        <c:axId val="165117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660750815"/>
        <c:crosses val="autoZero"/>
        <c:auto val="1"/>
        <c:lblAlgn val="ctr"/>
        <c:lblOffset val="100"/>
        <c:noMultiLvlLbl val="0"/>
      </c:catAx>
      <c:valAx>
        <c:axId val="1660750815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651171103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hiddenPage!$Q$62</c:f>
          <c:strCache>
            <c:ptCount val="1"/>
            <c:pt idx="0">
              <c:v>Structure of Revenues on companies in 2025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1506846019247592"/>
          <c:y val="0.21124198016914553"/>
          <c:w val="0.63529265091863518"/>
          <c:h val="0.608202464275298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5FBDC-59ED-4833-85F7-39A8E31307D1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2EE-4962-81CE-0DA884EE1D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810B83-9082-4471-BB8A-AB2D7F6A9702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2EE-4962-81CE-0DA884EE1D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18CBE1-5C90-44E4-A793-2EA85AE17362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EE-4962-81CE-0DA884EE1D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F4DB6CB-1381-4961-9E56-D409223BA01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2EE-4962-81CE-0DA884EE1D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hiddenPage!$N$52:$N$55</c:f>
              <c:strCache>
                <c:ptCount val="4"/>
                <c:pt idx="0">
                  <c:v>Romcarbon SA</c:v>
                </c:pt>
                <c:pt idx="1">
                  <c:v>LivingJumbo Industry SA</c:v>
                </c:pt>
                <c:pt idx="2">
                  <c:v>RC Energo Install SRL</c:v>
                </c:pt>
                <c:pt idx="3">
                  <c:v>Info Tech Solutions SRL</c:v>
                </c:pt>
              </c:strCache>
            </c:strRef>
          </c:cat>
          <c:val>
            <c:numRef>
              <c:f>hiddenPage!$R$52:$R$55</c:f>
              <c:numCache>
                <c:formatCode>0%</c:formatCode>
                <c:ptCount val="4"/>
                <c:pt idx="0">
                  <c:v>0.63193246284563853</c:v>
                </c:pt>
                <c:pt idx="1">
                  <c:v>0.3060393542526455</c:v>
                </c:pt>
                <c:pt idx="2">
                  <c:v>5.4998405227211514E-2</c:v>
                </c:pt>
                <c:pt idx="3">
                  <c:v>7.0297776745044654E-3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hiddenPage!$Q$52:$Q$58</c15:f>
                <c15:dlblRangeCache>
                  <c:ptCount val="7"/>
                  <c:pt idx="0">
                    <c:v> 225,633,834 </c:v>
                  </c:pt>
                  <c:pt idx="1">
                    <c:v> 109,272,489 </c:v>
                  </c:pt>
                  <c:pt idx="2">
                    <c:v> 19,637,385 </c:v>
                  </c:pt>
                  <c:pt idx="3">
                    <c:v> 2,510,008 </c:v>
                  </c:pt>
                  <c:pt idx="4">
                    <c:v> -   </c:v>
                  </c:pt>
                  <c:pt idx="5">
                    <c:v> -   </c:v>
                  </c:pt>
                  <c:pt idx="6">
                    <c:v> -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2EE-4962-81CE-0DA884EE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axId val="481014208"/>
        <c:axId val="481032096"/>
      </c:barChart>
      <c:catAx>
        <c:axId val="4810142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032096"/>
        <c:crosses val="autoZero"/>
        <c:auto val="1"/>
        <c:lblAlgn val="ctr"/>
        <c:lblOffset val="100"/>
        <c:noMultiLvlLbl val="0"/>
      </c:catAx>
      <c:valAx>
        <c:axId val="4810320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4810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current assets vs. Total current liabilities</c:v>
            </c:pt>
          </c:strCache>
        </c:strRef>
      </c:tx>
      <c:layout>
        <c:manualLayout>
          <c:xMode val="edge"/>
          <c:yMode val="edge"/>
          <c:x val="0.60005873942750176"/>
          <c:y val="1.4362797370776868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75814682984529"/>
          <c:y val="0.11303977693424487"/>
          <c:w val="0.811863079615048"/>
          <c:h val="0.6684600442234914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hiddenPage!$B$4:$F$4</c:f>
              <c:numCache>
                <c:formatCode>_-* #,##0_-;\-* #,##0_-;_-* "-"??_-;_-@_-</c:formatCode>
                <c:ptCount val="5"/>
                <c:pt idx="0">
                  <c:v>134454393.24675953</c:v>
                </c:pt>
                <c:pt idx="1">
                  <c:v>209568594</c:v>
                </c:pt>
                <c:pt idx="2">
                  <c:v>157796518</c:v>
                </c:pt>
                <c:pt idx="3">
                  <c:v>136339239</c:v>
                </c:pt>
                <c:pt idx="4">
                  <c:v>121304753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current liabilities</c:v>
                </c:pt>
              </c:strCache>
            </c:strRef>
          </c:tx>
          <c:spPr>
            <a:ln w="28575" cap="rnd">
              <a:solidFill>
                <a:srgbClr val="219EBC"/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hiddenPage!$B$5:$F$5</c:f>
              <c:numCache>
                <c:formatCode>_-* #,##0_-;\-* #,##0_-;_-* "-"??_-;_-@_-</c:formatCode>
                <c:ptCount val="5"/>
                <c:pt idx="0">
                  <c:v>130578926.71184984</c:v>
                </c:pt>
                <c:pt idx="1">
                  <c:v>147792245</c:v>
                </c:pt>
                <c:pt idx="2">
                  <c:v>114050832</c:v>
                </c:pt>
                <c:pt idx="3">
                  <c:v>119241384</c:v>
                </c:pt>
                <c:pt idx="4">
                  <c:v>105163009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90972966142504075"/>
          <c:w val="0.99235037698784279"/>
          <c:h val="8.0790496371073689E-2"/>
        </c:manualLayout>
      </c:layout>
      <c:overlay val="0"/>
      <c:spPr>
        <a:solidFill>
          <a:schemeClr val="bg2">
            <a:lumMod val="90000"/>
          </a:schemeClr>
        </a:solidFill>
        <a:ln>
          <a:solidFill>
            <a:schemeClr val="bg2">
              <a:lumMod val="2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liabilities vs. Total Equity</c:v>
            </c:pt>
          </c:strCache>
        </c:strRef>
      </c:tx>
      <c:layout>
        <c:manualLayout>
          <c:xMode val="edge"/>
          <c:yMode val="edge"/>
          <c:x val="0.58147524900873404"/>
          <c:y val="1.388879988147983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4896239600105636E-2"/>
          <c:y val="0.15712743896531589"/>
          <c:w val="0.95510376039989431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A1B91E6-3EDE-441A-A46D-BB3059D9ED08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F7A-4752-A765-9758B6671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8CDE2DA-ABB5-44EE-BA18-24765E12849E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F7A-4752-A765-9758B6671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4F74CBC-993F-4605-9038-B6453441D9A1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C5A-4F4A-8BB5-0A605CF589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3A1E73-E1C0-46A8-AD17-6A99D9EB19A3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71C-4A48-86D1-EE631F17B3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FAFCE39-5A8A-411A-9200-773A31CC5260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71C-4A48-86D1-EE631F17B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hiddenPage!$B$10:$F$10</c:f>
              <c:numCache>
                <c:formatCode>_-* #,##0_-;\-* #,##0_-;_-* "-"??_-;_-@_-</c:formatCode>
                <c:ptCount val="5"/>
                <c:pt idx="0">
                  <c:v>162890245.33184984</c:v>
                </c:pt>
                <c:pt idx="1">
                  <c:v>174431279</c:v>
                </c:pt>
                <c:pt idx="2">
                  <c:v>140526029</c:v>
                </c:pt>
                <c:pt idx="3">
                  <c:v>136132381</c:v>
                </c:pt>
                <c:pt idx="4">
                  <c:v>121626924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hiddenPage!$B$63:$F$63</c15:f>
                <c15:dlblRangeCache>
                  <c:ptCount val="5"/>
                  <c:pt idx="0">
                    <c:v>54%</c:v>
                  </c:pt>
                  <c:pt idx="1">
                    <c:v>51%</c:v>
                  </c:pt>
                  <c:pt idx="2">
                    <c:v>48%</c:v>
                  </c:pt>
                  <c:pt idx="3">
                    <c:v>49%</c:v>
                  </c:pt>
                  <c:pt idx="4">
                    <c:v>47%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Equity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C078763-1FE3-4AAE-B208-8A01A7E6A3FB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F7A-4752-A765-9758B667116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6C701F8-C102-4D1B-B512-E16420A5933F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F7A-4752-A765-9758B667116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6BBBB55-A4B1-485B-BC43-401A966C1F3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C5A-4F4A-8BB5-0A605CF589C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5703173-4BE5-4D82-92CD-3128D852DA94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71C-4A48-86D1-EE631F17B3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7B5ECD1-FB9D-4BDA-8A56-05D37087C4C5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71C-4A48-86D1-EE631F17B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hiddenPage!$B$11:$F$11</c:f>
              <c:numCache>
                <c:formatCode>_-* #,##0_-;\-* #,##0_-;_-* "-"??_-;_-@_-</c:formatCode>
                <c:ptCount val="5"/>
                <c:pt idx="0">
                  <c:v>138920166.01707643</c:v>
                </c:pt>
                <c:pt idx="1">
                  <c:v>169680251</c:v>
                </c:pt>
                <c:pt idx="2">
                  <c:v>152044804</c:v>
                </c:pt>
                <c:pt idx="3">
                  <c:v>139210785</c:v>
                </c:pt>
                <c:pt idx="4">
                  <c:v>137769064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hiddenPage!$B$64:$F$64</c15:f>
                <c15:dlblRangeCache>
                  <c:ptCount val="5"/>
                  <c:pt idx="0">
                    <c:v>46%</c:v>
                  </c:pt>
                  <c:pt idx="1">
                    <c:v>49%</c:v>
                  </c:pt>
                  <c:pt idx="2">
                    <c:v>52%</c:v>
                  </c:pt>
                  <c:pt idx="3">
                    <c:v>51%</c:v>
                  </c:pt>
                  <c:pt idx="4">
                    <c:v>53%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hiddenPage!$A$66</c:f>
              <c:strCache>
                <c:ptCount val="1"/>
                <c:pt idx="0">
                  <c:v>Total Equity&amp;Liabilities</c:v>
                </c:pt>
              </c:strCache>
            </c:strRef>
          </c:tx>
          <c:spPr>
            <a:ln w="12700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12700">
                <a:solidFill>
                  <a:schemeClr val="bg2">
                    <a:lumMod val="9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hiddenPage!$B$12:$F$12</c:f>
              <c:numCache>
                <c:formatCode>_-* #,##0_-;\-* #,##0_-;_-* "-"??_-;_-@_-</c:formatCode>
                <c:ptCount val="5"/>
                <c:pt idx="0">
                  <c:v>301810411.34892631</c:v>
                </c:pt>
                <c:pt idx="1">
                  <c:v>344111530</c:v>
                </c:pt>
                <c:pt idx="2">
                  <c:v>292570833</c:v>
                </c:pt>
                <c:pt idx="3">
                  <c:v>275343166</c:v>
                </c:pt>
                <c:pt idx="4">
                  <c:v>259395988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C5A-4F4A-8BB5-0A605CF58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959291102905424E-2"/>
          <c:y val="0.89776428988043167"/>
          <c:w val="0.94842431679659456"/>
          <c:h val="7.7670909233898841E-2"/>
        </c:manualLayout>
      </c:layout>
      <c:overlay val="0"/>
      <c:spPr>
        <a:solidFill>
          <a:schemeClr val="bg2">
            <a:lumMod val="75000"/>
          </a:schemeClr>
        </a:solidFill>
        <a:ln>
          <a:solidFill>
            <a:schemeClr val="bg2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hiddenPage!$D$32</c:f>
          <c:strCache>
            <c:ptCount val="1"/>
            <c:pt idx="0">
              <c:v>Evolution of Total assets in the period 2021-2025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15099735537803E-2"/>
          <c:y val="9.1945114303733588E-2"/>
          <c:w val="0.97184900264462193"/>
          <c:h val="0.796991985186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hiddenPage!$B$41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hiddenPage!$B$42:$B$47</c:f>
              <c:numCache>
                <c:formatCode>_-* #,##0\ _l_e_i_-;\-* #,##0\ _l_e_i_-;_-* "-"??\ _l_e_i_-;_-@_-</c:formatCode>
                <c:ptCount val="6"/>
                <c:pt idx="1">
                  <c:v>301810410.94370812</c:v>
                </c:pt>
                <c:pt idx="2">
                  <c:v>292570833</c:v>
                </c:pt>
                <c:pt idx="3">
                  <c:v>275343166</c:v>
                </c:pt>
                <c:pt idx="4">
                  <c:v>259395988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A-4267-ADC1-CDBB0FEC14C9}"/>
            </c:ext>
          </c:extLst>
        </c:ser>
        <c:ser>
          <c:idx val="1"/>
          <c:order val="1"/>
          <c:tx>
            <c:strRef>
              <c:f>hiddenPage!$C$41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hiddenPage!$C$42:$C$47</c:f>
              <c:numCache>
                <c:formatCode>_-* #,##0\ _l_e_i_-;\-* #,##0\ _l_e_i_-;_-* "-"??\ _l_e_i_-;_-@_-</c:formatCode>
                <c:ptCount val="6"/>
                <c:pt idx="5">
                  <c:v>259395988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A-4267-ADC1-CDBB0FEC14C9}"/>
            </c:ext>
          </c:extLst>
        </c:ser>
        <c:ser>
          <c:idx val="2"/>
          <c:order val="2"/>
          <c:tx>
            <c:strRef>
              <c:f>hiddenPage!$D$41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hiddenPage!$D$42:$D$47</c:f>
              <c:numCache>
                <c:formatCode>_-* #,##0\ _l_e_i_-;\-* #,##0\ _l_e_i_-;_-* "-"??\ _l_e_i_-;_-@_-</c:formatCode>
                <c:ptCount val="6"/>
                <c:pt idx="1">
                  <c:v>0</c:v>
                </c:pt>
                <c:pt idx="2">
                  <c:v>51540697</c:v>
                </c:pt>
                <c:pt idx="3">
                  <c:v>17227667</c:v>
                </c:pt>
                <c:pt idx="4">
                  <c:v>15947178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A-4267-ADC1-CDBB0FEC14C9}"/>
            </c:ext>
          </c:extLst>
        </c:ser>
        <c:ser>
          <c:idx val="3"/>
          <c:order val="3"/>
          <c:tx>
            <c:strRef>
              <c:f>hiddenPage!$E$41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8BC16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1219040955771699E-3"/>
                  <c:y val="2.84275004495397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hiddenPage!$E$42:$E$47</c:f>
              <c:numCache>
                <c:formatCode>_-* #,##0\ _l_e_i_-;\-* #,##0\ _l_e_i_-;_-* "-"??\ _l_e_i_-;_-@_-</c:formatCode>
                <c:ptCount val="6"/>
                <c:pt idx="1">
                  <c:v>42301119.056291878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A-4267-ADC1-CDBB0FEC14C9}"/>
            </c:ext>
          </c:extLst>
        </c:ser>
        <c:ser>
          <c:idx val="4"/>
          <c:order val="4"/>
          <c:tx>
            <c:strRef>
              <c:f>hiddenPage!$F$41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8A-4267-ADC1-CDBB0FEC14C9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hiddenPage!$F$42:$F$47</c:f>
              <c:numCache>
                <c:formatCode>General</c:formatCode>
                <c:ptCount val="6"/>
                <c:pt idx="0" formatCode="_-* #,##0_-;\-* #,##0_-;_-* &quot;-&quot;??_-;_-@_-">
                  <c:v>301810410.94370812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8A-4267-ADC1-CDBB0FEC14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1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Structure of Current assets in 2025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50,826,686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{0FA4FE9D-CEE0-4E96-9AEE-9D636CA7A2E6}</c15:txfldGUID>
                      <c15:f>hiddenPage!$Q$16</c15:f>
                      <c15:dlblFieldTableCache>
                        <c:ptCount val="1"/>
                        <c:pt idx="0">
                          <c:v> 50,826,686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44,933,367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{2E96ECCB-5790-453D-BF02-6F1DAE7BB00C}</c15:txfldGUID>
                      <c15:f>hiddenPage!$Q$17</c15:f>
                      <c15:dlblFieldTableCache>
                        <c:ptCount val="1"/>
                        <c:pt idx="0">
                          <c:v> 44,933,367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23,633,637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{17640679-0AD2-4825-9D2A-AF6F7DC77E3B}</c15:txfldGUID>
                      <c15:f>hiddenPage!$Q$18</c15:f>
                      <c15:dlblFieldTableCache>
                        <c:ptCount val="1"/>
                        <c:pt idx="0">
                          <c:v> 23,633,637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1,284,301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{651F906C-1E2D-40E4-BFE1-D9C037CE7C1E}</c15:txfldGUID>
                      <c15:f>hiddenPage!$Q$19</c15:f>
                      <c15:dlblFieldTableCache>
                        <c:ptCount val="1"/>
                        <c:pt idx="0">
                          <c:v> 1,284,301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626,762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{9A634161-B546-4AF8-8C3D-8473F8041800}</c15:txfldGUID>
                      <c15:f>hiddenPage!$Q$20</c15:f>
                      <c15:dlblFieldTableCache>
                        <c:ptCount val="1"/>
                        <c:pt idx="0">
                          <c:v> 626,762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{41F98A08-04C8-4AE6-AAB5-193AFA7B791F}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5"/>
                <c:pt idx="0">
                  <c:v>Current inventories</c:v>
                </c:pt>
                <c:pt idx="1">
                  <c:v>Trade and other current receivables</c:v>
                </c:pt>
                <c:pt idx="2">
                  <c:v>Cash and cash equivalents</c:v>
                </c:pt>
                <c:pt idx="3">
                  <c:v>Other current financial assets</c:v>
                </c:pt>
                <c:pt idx="4">
                  <c:v>Other current non-financial assets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0.41899995460194372</c:v>
                </c:pt>
                <c:pt idx="1">
                  <c:v>0.37041720038785292</c:v>
                </c:pt>
                <c:pt idx="2">
                  <c:v>0.19482861483589187</c:v>
                </c:pt>
                <c:pt idx="3">
                  <c:v>1.0587392235158337E-2</c:v>
                </c:pt>
                <c:pt idx="4">
                  <c:v>5.1668379391531342E-3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strRef>
          <c:f>hiddenPage!$D$7</c:f>
          <c:strCache>
            <c:ptCount val="1"/>
            <c:pt idx="0">
              <c:v>2025 structure of Equity&amp;Liabilities</c:v>
            </c:pt>
          </c:strCache>
        </c:strRef>
      </c:tx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2492189150852021"/>
          <c:y val="0.11553805774278215"/>
          <c:w val="0.53606095727621084"/>
          <c:h val="0.8836254624416046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1A-45E7-B73F-9161B163120C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1A-45E7-B73F-9161B163120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2">
                          <a:lumMod val="7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71A-45E7-B73F-9161B163120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bg1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71A-45E7-B73F-9161B16312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liabilities</c:v>
                </c:pt>
                <c:pt idx="1">
                  <c:v>Total Equity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121626924</c:v>
                </c:pt>
                <c:pt idx="1">
                  <c:v>137769064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1A-45E7-B73F-9161B163120C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Comprehensive income'!A1"/><Relationship Id="rId7" Type="http://schemas.openxmlformats.org/officeDocument/2006/relationships/hyperlink" Target="#Charts!A1"/><Relationship Id="rId2" Type="http://schemas.openxmlformats.org/officeDocument/2006/relationships/hyperlink" Target="#'1.FinancialPosition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Financial ratios'!A1"/><Relationship Id="rId4" Type="http://schemas.openxmlformats.org/officeDocument/2006/relationships/hyperlink" Target="#'3.Statement of cash flow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ontents!H6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Contents!H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Contents!H6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237913</xdr:colOff>
      <xdr:row>0</xdr:row>
      <xdr:rowOff>89958</xdr:rowOff>
    </xdr:from>
    <xdr:to>
      <xdr:col>16</xdr:col>
      <xdr:colOff>583141</xdr:colOff>
      <xdr:row>4</xdr:row>
      <xdr:rowOff>42333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4606713" y="89958"/>
          <a:ext cx="6136428" cy="705908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rgbClr val="219EBC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TABLE OF CONTENTS</a:t>
          </a:r>
        </a:p>
      </xdr:txBody>
    </xdr:sp>
    <xdr:clientData/>
  </xdr:twoCellAnchor>
  <xdr:twoCellAnchor>
    <xdr:from>
      <xdr:col>17</xdr:col>
      <xdr:colOff>353483</xdr:colOff>
      <xdr:row>6</xdr:row>
      <xdr:rowOff>46567</xdr:rowOff>
    </xdr:from>
    <xdr:to>
      <xdr:col>20</xdr:col>
      <xdr:colOff>271683</xdr:colOff>
      <xdr:row>8</xdr:row>
      <xdr:rowOff>76434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9404350" y="994834"/>
          <a:ext cx="162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SNAPSHOTS</a:t>
          </a:r>
        </a:p>
      </xdr:txBody>
    </xdr:sp>
    <xdr:clientData/>
  </xdr:twoCellAnchor>
  <xdr:twoCellAnchor>
    <xdr:from>
      <xdr:col>17</xdr:col>
      <xdr:colOff>373591</xdr:colOff>
      <xdr:row>9</xdr:row>
      <xdr:rowOff>19751</xdr:rowOff>
    </xdr:from>
    <xdr:to>
      <xdr:col>20</xdr:col>
      <xdr:colOff>291791</xdr:colOff>
      <xdr:row>11</xdr:row>
      <xdr:rowOff>53852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0829924" y="1614307"/>
          <a:ext cx="1646811" cy="49976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</a:t>
          </a:r>
          <a:r>
            <a:rPr lang="en-GB" sz="10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POSITION</a:t>
          </a:r>
          <a:endParaRPr lang="en-GB" sz="10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17</xdr:col>
      <xdr:colOff>386291</xdr:colOff>
      <xdr:row>11</xdr:row>
      <xdr:rowOff>163685</xdr:rowOff>
    </xdr:from>
    <xdr:to>
      <xdr:col>20</xdr:col>
      <xdr:colOff>304491</xdr:colOff>
      <xdr:row>14</xdr:row>
      <xdr:rowOff>41151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0842624" y="2223907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950" b="1">
              <a:solidFill>
                <a:sysClr val="windowText" lastClr="000000"/>
              </a:solidFill>
              <a:latin typeface="Candara" panose="020E0502030303020204" pitchFamily="34" charset="0"/>
            </a:rPr>
            <a:t>STATEMENT OF COMPREHENSIVE</a:t>
          </a:r>
          <a:r>
            <a:rPr lang="en-GB" sz="9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INCOME</a:t>
          </a:r>
          <a:endParaRPr lang="en-GB" sz="9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17</xdr:col>
      <xdr:colOff>386291</xdr:colOff>
      <xdr:row>14</xdr:row>
      <xdr:rowOff>167918</xdr:rowOff>
    </xdr:from>
    <xdr:to>
      <xdr:col>20</xdr:col>
      <xdr:colOff>304491</xdr:colOff>
      <xdr:row>17</xdr:row>
      <xdr:rowOff>87718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0842624" y="2841974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17</xdr:col>
      <xdr:colOff>378885</xdr:colOff>
      <xdr:row>17</xdr:row>
      <xdr:rowOff>161567</xdr:rowOff>
    </xdr:from>
    <xdr:to>
      <xdr:col>20</xdr:col>
      <xdr:colOff>297085</xdr:colOff>
      <xdr:row>20</xdr:row>
      <xdr:rowOff>81367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0835218" y="3407123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 RATIOS</a:t>
          </a:r>
        </a:p>
      </xdr:txBody>
    </xdr:sp>
    <xdr:clientData/>
  </xdr:twoCellAnchor>
  <xdr:twoCellAnchor>
    <xdr:from>
      <xdr:col>4</xdr:col>
      <xdr:colOff>0</xdr:colOff>
      <xdr:row>9</xdr:row>
      <xdr:rowOff>84667</xdr:rowOff>
    </xdr:from>
    <xdr:to>
      <xdr:col>16</xdr:col>
      <xdr:colOff>603249</xdr:colOff>
      <xdr:row>22</xdr:row>
      <xdr:rowOff>126999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397933</xdr:colOff>
      <xdr:row>20</xdr:row>
      <xdr:rowOff>174268</xdr:rowOff>
    </xdr:from>
    <xdr:to>
      <xdr:col>20</xdr:col>
      <xdr:colOff>316133</xdr:colOff>
      <xdr:row>23</xdr:row>
      <xdr:rowOff>94068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0854266" y="3991324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INTERACTIVE CHARTS</a:t>
          </a:r>
        </a:p>
      </xdr:txBody>
    </xdr:sp>
    <xdr:clientData/>
  </xdr:twoCellAnchor>
  <xdr:twoCellAnchor editAs="oneCell">
    <xdr:from>
      <xdr:col>12</xdr:col>
      <xdr:colOff>432647</xdr:colOff>
      <xdr:row>1</xdr:row>
      <xdr:rowOff>5292</xdr:rowOff>
    </xdr:from>
    <xdr:to>
      <xdr:col>16</xdr:col>
      <xdr:colOff>320464</xdr:colOff>
      <xdr:row>3</xdr:row>
      <xdr:rowOff>142028</xdr:rowOff>
    </xdr:to>
    <xdr:pic>
      <xdr:nvPicPr>
        <xdr:cNvPr id="15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6F0E78E5-08A0-4945-84FC-D302B8FD1797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847" y="200025"/>
          <a:ext cx="2139950" cy="509270"/>
        </a:xfrm>
        <a:prstGeom prst="rect">
          <a:avLst/>
        </a:prstGeom>
      </xdr:spPr>
    </xdr:pic>
    <xdr:clientData/>
  </xdr:twoCellAnchor>
  <xdr:twoCellAnchor>
    <xdr:from>
      <xdr:col>2</xdr:col>
      <xdr:colOff>333303</xdr:colOff>
      <xdr:row>0</xdr:row>
      <xdr:rowOff>57009</xdr:rowOff>
    </xdr:from>
    <xdr:to>
      <xdr:col>2</xdr:col>
      <xdr:colOff>577143</xdr:colOff>
      <xdr:row>34</xdr:row>
      <xdr:rowOff>40638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DD15FC9-8571-4225-892F-ABCF8EB32870}"/>
            </a:ext>
          </a:extLst>
        </xdr:cNvPr>
        <xdr:cNvSpPr/>
      </xdr:nvSpPr>
      <xdr:spPr>
        <a:xfrm>
          <a:off x="1737359" y="57009"/>
          <a:ext cx="243840" cy="6340685"/>
        </a:xfrm>
        <a:prstGeom prst="rect">
          <a:avLst/>
        </a:prstGeom>
        <a:solidFill>
          <a:srgbClr val="3BBED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1</xdr:col>
      <xdr:colOff>119944</xdr:colOff>
      <xdr:row>0</xdr:row>
      <xdr:rowOff>60396</xdr:rowOff>
    </xdr:from>
    <xdr:to>
      <xdr:col>1</xdr:col>
      <xdr:colOff>526343</xdr:colOff>
      <xdr:row>34</xdr:row>
      <xdr:rowOff>44025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63FC50E-2489-4361-8416-681AF13CB934}"/>
            </a:ext>
          </a:extLst>
        </xdr:cNvPr>
        <xdr:cNvSpPr/>
      </xdr:nvSpPr>
      <xdr:spPr>
        <a:xfrm>
          <a:off x="889000" y="60396"/>
          <a:ext cx="406399" cy="6340685"/>
        </a:xfrm>
        <a:prstGeom prst="rect">
          <a:avLst/>
        </a:prstGeom>
        <a:solidFill>
          <a:srgbClr val="219EB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1</xdr:col>
      <xdr:colOff>592384</xdr:colOff>
      <xdr:row>0</xdr:row>
      <xdr:rowOff>49389</xdr:rowOff>
    </xdr:from>
    <xdr:to>
      <xdr:col>2</xdr:col>
      <xdr:colOff>285891</xdr:colOff>
      <xdr:row>34</xdr:row>
      <xdr:rowOff>33018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C7E937B-6D2F-43C5-9455-2753A1A013D9}"/>
            </a:ext>
          </a:extLst>
        </xdr:cNvPr>
        <xdr:cNvSpPr/>
      </xdr:nvSpPr>
      <xdr:spPr>
        <a:xfrm>
          <a:off x="1361440" y="49389"/>
          <a:ext cx="328507" cy="634068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272142</xdr:colOff>
      <xdr:row>1</xdr:row>
      <xdr:rowOff>194387</xdr:rowOff>
    </xdr:from>
    <xdr:to>
      <xdr:col>8</xdr:col>
      <xdr:colOff>515289</xdr:colOff>
      <xdr:row>2</xdr:row>
      <xdr:rowOff>248134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56595-E61A-4A98-B409-483BC43CB07E}"/>
            </a:ext>
          </a:extLst>
        </xdr:cNvPr>
        <xdr:cNvSpPr/>
      </xdr:nvSpPr>
      <xdr:spPr>
        <a:xfrm>
          <a:off x="8490856" y="380999"/>
          <a:ext cx="865188" cy="248135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447147</xdr:colOff>
      <xdr:row>2</xdr:row>
      <xdr:rowOff>11908</xdr:rowOff>
    </xdr:from>
    <xdr:to>
      <xdr:col>21</xdr:col>
      <xdr:colOff>470960</xdr:colOff>
      <xdr:row>21</xdr:row>
      <xdr:rowOff>11907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10FE6C9-7B26-48D1-A0F9-5666FCF29B2A}"/>
            </a:ext>
          </a:extLst>
        </xdr:cNvPr>
        <xdr:cNvGrpSpPr/>
      </xdr:nvGrpSpPr>
      <xdr:grpSpPr>
        <a:xfrm>
          <a:off x="9545506" y="388939"/>
          <a:ext cx="5461001" cy="4058046"/>
          <a:chOff x="2409031" y="2093119"/>
          <a:chExt cx="4572000" cy="2978944"/>
        </a:xfrm>
        <a:solidFill>
          <a:schemeClr val="accent6">
            <a:lumMod val="20000"/>
            <a:lumOff val="80000"/>
          </a:schemeClr>
        </a:solidFill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C76D0260-CDB9-4BDA-BCA0-BBDC9FC1EC5D}"/>
              </a:ext>
            </a:extLst>
          </xdr:cNvPr>
          <xdr:cNvGraphicFramePr/>
        </xdr:nvGraphicFramePr>
        <xdr:xfrm>
          <a:off x="2409031" y="2093119"/>
          <a:ext cx="4572000" cy="29789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1F533A24-55F7-46CC-BB6C-EAD69DCABCD3}"/>
              </a:ext>
            </a:extLst>
          </xdr:cNvPr>
          <xdr:cNvCxnSpPr/>
        </xdr:nvCxnSpPr>
        <xdr:spPr>
          <a:xfrm>
            <a:off x="2743085" y="2617964"/>
            <a:ext cx="3806032" cy="0"/>
          </a:xfrm>
          <a:prstGeom prst="straightConnector1">
            <a:avLst/>
          </a:prstGeom>
          <a:grpFill/>
          <a:ln>
            <a:solidFill>
              <a:schemeClr val="bg2">
                <a:lumMod val="25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S$4">
        <xdr:nvSpPr>
          <xdr:cNvPr id="7" name="Oval 6">
            <a:extLst>
              <a:ext uri="{FF2B5EF4-FFF2-40B4-BE49-F238E27FC236}">
                <a16:creationId xmlns:a16="http://schemas.microsoft.com/office/drawing/2014/main" id="{9F1A1300-B33A-4A6D-8492-66F860409F1C}"/>
              </a:ext>
            </a:extLst>
          </xdr:cNvPr>
          <xdr:cNvSpPr/>
        </xdr:nvSpPr>
        <xdr:spPr>
          <a:xfrm>
            <a:off x="4353471" y="2443548"/>
            <a:ext cx="506528" cy="351462"/>
          </a:xfrm>
          <a:prstGeom prst="ellipse">
            <a:avLst/>
          </a:prstGeom>
          <a:solidFill>
            <a:schemeClr val="bg2">
              <a:lumMod val="90000"/>
            </a:schemeClr>
          </a:solidFill>
          <a:ln>
            <a:solidFill>
              <a:srgbClr val="219E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3C22C5-7929-42DC-B2A1-843A8F0EC400}" type="TxLink">
              <a:rPr lang="en-US" sz="1100" b="0" i="0" u="none" strike="noStrike">
                <a:solidFill>
                  <a:srgbClr val="000000"/>
                </a:solidFill>
                <a:latin typeface="Candara"/>
                <a:cs typeface="Calibri"/>
              </a:rPr>
              <a:pPr algn="ctr"/>
              <a:t>-24%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22</xdr:col>
      <xdr:colOff>0</xdr:colOff>
      <xdr:row>2</xdr:row>
      <xdr:rowOff>0</xdr:rowOff>
    </xdr:from>
    <xdr:to>
      <xdr:col>23</xdr:col>
      <xdr:colOff>238125</xdr:colOff>
      <xdr:row>3</xdr:row>
      <xdr:rowOff>63499</xdr:rowOff>
    </xdr:to>
    <xdr:sp macro="" textlink="">
      <xdr:nvSpPr>
        <xdr:cNvPr id="9" name="Rectangle: Rounded Corner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FAF22-F523-47D6-8B24-3FE5CA3892C7}"/>
            </a:ext>
          </a:extLst>
        </xdr:cNvPr>
        <xdr:cNvSpPr/>
      </xdr:nvSpPr>
      <xdr:spPr>
        <a:xfrm>
          <a:off x="13366750" y="381000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493712</xdr:colOff>
      <xdr:row>2</xdr:row>
      <xdr:rowOff>15875</xdr:rowOff>
    </xdr:from>
    <xdr:to>
      <xdr:col>12</xdr:col>
      <xdr:colOff>731837</xdr:colOff>
      <xdr:row>2</xdr:row>
      <xdr:rowOff>341312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BE3B20-188E-4DB3-B459-3A3DF94548BC}"/>
            </a:ext>
          </a:extLst>
        </xdr:cNvPr>
        <xdr:cNvSpPr/>
      </xdr:nvSpPr>
      <xdr:spPr>
        <a:xfrm>
          <a:off x="8462962" y="388938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13</xdr:col>
      <xdr:colOff>331788</xdr:colOff>
      <xdr:row>3</xdr:row>
      <xdr:rowOff>3703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3E7243-2A6B-4D6A-AF42-A44148477DE9}"/>
            </a:ext>
          </a:extLst>
        </xdr:cNvPr>
        <xdr:cNvSpPr/>
      </xdr:nvSpPr>
      <xdr:spPr>
        <a:xfrm>
          <a:off x="11684000" y="397933"/>
          <a:ext cx="865188" cy="32543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  <xdr:twoCellAnchor>
    <xdr:from>
      <xdr:col>17</xdr:col>
      <xdr:colOff>20319</xdr:colOff>
      <xdr:row>32</xdr:row>
      <xdr:rowOff>108797</xdr:rowOff>
    </xdr:from>
    <xdr:to>
      <xdr:col>25</xdr:col>
      <xdr:colOff>103188</xdr:colOff>
      <xdr:row>43</xdr:row>
      <xdr:rowOff>74930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285990A-E346-412E-99E0-949F826D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0.06498</cdr:x>
      <cdr:y>0.83863</cdr:y>
    </cdr:from>
    <cdr:to>
      <cdr:x>0.39966</cdr:x>
      <cdr:y>0.83863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460E22A-BF85-4D10-9627-525FD8EDAD8B}"/>
            </a:ext>
          </a:extLst>
        </cdr:cNvPr>
        <cdr:cNvCxnSpPr/>
      </cdr:nvCxnSpPr>
      <cdr:spPr>
        <a:xfrm xmlns:a="http://schemas.openxmlformats.org/drawingml/2006/main">
          <a:off x="304800" y="2300529"/>
          <a:ext cx="156984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219EB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0.05776</cdr:x>
      <cdr:y>0.86466</cdr:y>
    </cdr:from>
    <cdr:to>
      <cdr:x>0.50958</cdr:x>
      <cdr:y>0.96478</cdr:y>
    </cdr:to>
    <cdr:sp macro="" textlink="hiddenPage!$Q$60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3D245904-A993-4924-AAEA-E6108115BF35}"/>
            </a:ext>
          </a:extLst>
        </cdr:cNvPr>
        <cdr:cNvSpPr/>
      </cdr:nvSpPr>
      <cdr:spPr>
        <a:xfrm xmlns:a="http://schemas.openxmlformats.org/drawingml/2006/main">
          <a:off x="270933" y="2371936"/>
          <a:ext cx="2119281" cy="274659"/>
        </a:xfrm>
        <a:prstGeom xmlns:a="http://schemas.openxmlformats.org/drawingml/2006/main" prst="rect">
          <a:avLst/>
        </a:prstGeom>
        <a:solidFill xmlns:a="http://schemas.openxmlformats.org/drawingml/2006/main">
          <a:srgbClr val="219EBC"/>
        </a:solidFill>
        <a:ln xmlns:a="http://schemas.openxmlformats.org/drawingml/2006/main">
          <a:solidFill>
            <a:schemeClr val="accent6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871C46CD-77DF-4A0E-979B-ABA5EFB031E0}" type="TxLink">
            <a:rPr lang="en-US" sz="1100" b="0" i="0" u="none" strike="noStrike">
              <a:solidFill>
                <a:srgbClr val="000000"/>
              </a:solidFill>
              <a:latin typeface="Candara"/>
            </a:rPr>
            <a:pPr algn="l"/>
            <a:t>Total :  lei 357,053,716</a:t>
          </a:fld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283105</xdr:colOff>
      <xdr:row>2</xdr:row>
      <xdr:rowOff>82285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15EFC-D4F4-4021-8642-84A05C8FFEF5}"/>
            </a:ext>
          </a:extLst>
        </xdr:cNvPr>
        <xdr:cNvSpPr/>
      </xdr:nvSpPr>
      <xdr:spPr>
        <a:xfrm>
          <a:off x="14467417" y="190500"/>
          <a:ext cx="865188" cy="283368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7937</xdr:colOff>
      <xdr:row>1</xdr:row>
      <xdr:rowOff>119063</xdr:rowOff>
    </xdr:from>
    <xdr:to>
      <xdr:col>10</xdr:col>
      <xdr:colOff>873125</xdr:colOff>
      <xdr:row>2</xdr:row>
      <xdr:rowOff>200025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FAA96-CAB9-434F-A16E-6AA13A95A7E5}"/>
            </a:ext>
          </a:extLst>
        </xdr:cNvPr>
        <xdr:cNvSpPr/>
      </xdr:nvSpPr>
      <xdr:spPr>
        <a:xfrm>
          <a:off x="10287000" y="301626"/>
          <a:ext cx="865188" cy="271462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138112</xdr:rowOff>
    </xdr:from>
    <xdr:to>
      <xdr:col>7</xdr:col>
      <xdr:colOff>523875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34847</xdr:colOff>
      <xdr:row>2</xdr:row>
      <xdr:rowOff>98241</xdr:rowOff>
    </xdr:from>
    <xdr:to>
      <xdr:col>16</xdr:col>
      <xdr:colOff>119230</xdr:colOff>
      <xdr:row>18</xdr:row>
      <xdr:rowOff>4644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517777</xdr:colOff>
      <xdr:row>21</xdr:row>
      <xdr:rowOff>81835</xdr:rowOff>
    </xdr:from>
    <xdr:to>
      <xdr:col>24</xdr:col>
      <xdr:colOff>260195</xdr:colOff>
      <xdr:row>37</xdr:row>
      <xdr:rowOff>55756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2D5C9EC-9367-462A-A782-7D2F4E65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277</xdr:colOff>
      <xdr:row>21</xdr:row>
      <xdr:rowOff>84214</xdr:rowOff>
    </xdr:from>
    <xdr:to>
      <xdr:col>12</xdr:col>
      <xdr:colOff>267164</xdr:colOff>
      <xdr:row>37</xdr:row>
      <xdr:rowOff>46462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247184</xdr:colOff>
      <xdr:row>2</xdr:row>
      <xdr:rowOff>84564</xdr:rowOff>
    </xdr:from>
    <xdr:to>
      <xdr:col>24</xdr:col>
      <xdr:colOff>185854</xdr:colOff>
      <xdr:row>17</xdr:row>
      <xdr:rowOff>176561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745CEAF0-A8DF-4118-B35E-837870FCF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321733</xdr:colOff>
      <xdr:row>2</xdr:row>
      <xdr:rowOff>101600</xdr:rowOff>
    </xdr:from>
    <xdr:to>
      <xdr:col>25</xdr:col>
      <xdr:colOff>560388</xdr:colOff>
      <xdr:row>4</xdr:row>
      <xdr:rowOff>127529</xdr:rowOff>
    </xdr:to>
    <xdr:sp macro="" textlink="">
      <xdr:nvSpPr>
        <xdr:cNvPr id="8" name="Rectangle: Rounded Corner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934F80-E7BF-4679-8AFD-BAC17293F6BD}"/>
            </a:ext>
          </a:extLst>
        </xdr:cNvPr>
        <xdr:cNvSpPr/>
      </xdr:nvSpPr>
      <xdr:spPr>
        <a:xfrm>
          <a:off x="14647333" y="389467"/>
          <a:ext cx="865188" cy="271462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0.33873</cdr:x>
      <cdr:y>0.85832</cdr:y>
    </cdr:from>
    <cdr:to>
      <cdr:x>0.60978</cdr:x>
      <cdr:y>0.93483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2390450" y="2525617"/>
          <a:ext cx="1912841" cy="225132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lei 121,304,753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EN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1:Q34"/>
  <sheetViews>
    <sheetView showGridLines="0" tabSelected="1" zoomScale="90" zoomScaleNormal="90" workbookViewId="0">
      <selection activeCell="V34" sqref="V34"/>
    </sheetView>
  </sheetViews>
  <sheetFormatPr defaultColWidth="9.140625" defaultRowHeight="15" x14ac:dyDescent="0.25"/>
  <cols>
    <col min="1" max="1" width="11" style="46" customWidth="1"/>
    <col min="2" max="2" width="9.140625" style="46" customWidth="1"/>
    <col min="3" max="3" width="9.140625" style="46"/>
    <col min="4" max="4" width="3.5703125" style="46" customWidth="1"/>
    <col min="5" max="5" width="11.42578125" style="46" customWidth="1"/>
    <col min="6" max="15" width="9.140625" style="46"/>
    <col min="16" max="16" width="5.42578125" style="46" customWidth="1"/>
    <col min="17" max="18" width="9.140625" style="46"/>
    <col min="19" max="19" width="8" style="46" customWidth="1"/>
    <col min="20" max="20" width="7.5703125" style="46" customWidth="1"/>
    <col min="21" max="16384" width="9.140625" style="46"/>
  </cols>
  <sheetData>
    <row r="1" spans="1:17" ht="15" customHeight="1" x14ac:dyDescent="0.25">
      <c r="A1" s="45"/>
      <c r="B1" s="45"/>
      <c r="C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 x14ac:dyDescent="0.25">
      <c r="B2" s="45"/>
      <c r="C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7" x14ac:dyDescent="0.25">
      <c r="A3" s="45"/>
      <c r="B3" s="45"/>
      <c r="C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7" x14ac:dyDescent="0.25">
      <c r="A4" s="45"/>
      <c r="B4" s="45"/>
      <c r="C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7" ht="9.75" customHeight="1" x14ac:dyDescent="0.25">
      <c r="A5" s="45"/>
      <c r="B5" s="45"/>
      <c r="C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7" ht="6" customHeight="1" x14ac:dyDescent="0.25">
      <c r="A6" s="45"/>
      <c r="B6" s="45"/>
      <c r="C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7" ht="16.5" customHeight="1" x14ac:dyDescent="0.25">
      <c r="A7" s="47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21" x14ac:dyDescent="0.35">
      <c r="E8" s="218" t="s">
        <v>170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</row>
    <row r="9" spans="1:17" ht="14.25" customHeight="1" x14ac:dyDescent="0.35"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</row>
    <row r="10" spans="1:17" ht="18.75" x14ac:dyDescent="0.3">
      <c r="F10" s="48"/>
      <c r="G10" s="48"/>
      <c r="H10" s="48"/>
      <c r="I10" s="48"/>
      <c r="J10" s="48"/>
      <c r="K10" s="48"/>
      <c r="L10" s="48"/>
      <c r="M10" s="49"/>
      <c r="N10" s="48"/>
      <c r="O10" s="48"/>
      <c r="P10" s="49"/>
      <c r="Q10" s="50"/>
    </row>
    <row r="11" spans="1:17" ht="18.75" x14ac:dyDescent="0.3">
      <c r="F11" s="48"/>
      <c r="G11" s="48"/>
      <c r="H11" s="48"/>
      <c r="I11" s="48"/>
      <c r="J11" s="48"/>
      <c r="K11" s="48"/>
      <c r="L11" s="48"/>
      <c r="M11" s="48"/>
      <c r="P11" s="51"/>
      <c r="Q11" s="51"/>
    </row>
    <row r="12" spans="1:17" ht="18.75" x14ac:dyDescent="0.3">
      <c r="F12" s="48"/>
      <c r="G12" s="48"/>
      <c r="H12" s="48"/>
      <c r="I12" s="48"/>
      <c r="J12" s="48"/>
      <c r="K12" s="48"/>
      <c r="L12" s="48"/>
      <c r="M12" s="48"/>
      <c r="P12" s="48"/>
      <c r="Q12" s="50"/>
    </row>
    <row r="13" spans="1:17" ht="15" customHeight="1" x14ac:dyDescent="0.3">
      <c r="F13" s="48"/>
      <c r="G13" s="48"/>
      <c r="H13" s="48"/>
      <c r="I13" s="48"/>
      <c r="J13" s="48"/>
      <c r="K13" s="48"/>
      <c r="L13" s="48"/>
      <c r="M13" s="48"/>
      <c r="P13" s="48"/>
      <c r="Q13" s="50"/>
    </row>
    <row r="14" spans="1:17" ht="15" customHeight="1" x14ac:dyDescent="0.3">
      <c r="F14" s="48"/>
      <c r="G14" s="48"/>
      <c r="H14" s="48"/>
      <c r="I14" s="48"/>
      <c r="J14" s="48"/>
      <c r="K14" s="48"/>
      <c r="L14" s="48"/>
      <c r="M14" s="48"/>
      <c r="P14" s="48"/>
      <c r="Q14" s="50"/>
    </row>
    <row r="15" spans="1:17" ht="15" customHeight="1" x14ac:dyDescent="0.3">
      <c r="F15" s="48"/>
      <c r="G15" s="48"/>
      <c r="H15" s="48"/>
      <c r="I15" s="48"/>
      <c r="J15" s="48"/>
      <c r="K15" s="48"/>
      <c r="L15" s="48"/>
      <c r="M15" s="48"/>
      <c r="P15" s="48"/>
      <c r="Q15" s="50"/>
    </row>
    <row r="16" spans="1:17" ht="15" customHeight="1" x14ac:dyDescent="0.3">
      <c r="F16" s="48"/>
      <c r="G16" s="48"/>
      <c r="H16" s="48"/>
      <c r="I16" s="48"/>
      <c r="J16" s="48"/>
      <c r="K16" s="48"/>
      <c r="L16" s="48"/>
      <c r="M16" s="48"/>
      <c r="P16" s="48"/>
      <c r="Q16" s="50"/>
    </row>
    <row r="17" spans="5:17" ht="15" customHeight="1" x14ac:dyDescent="0.3">
      <c r="F17" s="48"/>
      <c r="G17" s="48"/>
      <c r="H17" s="48"/>
      <c r="I17" s="48"/>
      <c r="J17" s="48"/>
      <c r="K17" s="48"/>
      <c r="L17" s="48"/>
      <c r="M17" s="48"/>
      <c r="P17" s="48"/>
      <c r="Q17" s="50"/>
    </row>
    <row r="18" spans="5:17" ht="15" customHeight="1" x14ac:dyDescent="0.3">
      <c r="F18" s="48"/>
      <c r="G18" s="48"/>
      <c r="H18" s="48"/>
      <c r="I18" s="48"/>
      <c r="J18" s="48"/>
      <c r="K18" s="48"/>
      <c r="L18" s="48"/>
      <c r="M18" s="48"/>
      <c r="P18" s="48"/>
      <c r="Q18" s="50"/>
    </row>
    <row r="19" spans="5:17" ht="15" customHeight="1" x14ac:dyDescent="0.3">
      <c r="F19" s="48"/>
      <c r="G19" s="48"/>
      <c r="H19" s="48"/>
      <c r="I19" s="48"/>
      <c r="J19" s="48"/>
      <c r="K19" s="48"/>
      <c r="L19" s="48"/>
      <c r="M19" s="48"/>
      <c r="P19" s="48"/>
      <c r="Q19" s="50"/>
    </row>
    <row r="20" spans="5:17" ht="15" customHeight="1" x14ac:dyDescent="0.3">
      <c r="F20" s="48"/>
      <c r="G20" s="48"/>
      <c r="H20" s="48"/>
      <c r="I20" s="48"/>
      <c r="J20" s="48"/>
      <c r="K20" s="48"/>
      <c r="L20" s="48"/>
      <c r="M20" s="48"/>
      <c r="P20" s="48"/>
      <c r="Q20" s="50"/>
    </row>
    <row r="21" spans="5:17" ht="15" customHeight="1" x14ac:dyDescent="0.3">
      <c r="F21" s="48"/>
      <c r="G21" s="48"/>
      <c r="H21" s="48"/>
      <c r="I21" s="48"/>
      <c r="J21" s="48"/>
      <c r="K21" s="48"/>
      <c r="L21" s="48"/>
      <c r="M21" s="48"/>
      <c r="P21" s="48"/>
      <c r="Q21" s="50"/>
    </row>
    <row r="22" spans="5:17" ht="15" customHeight="1" x14ac:dyDescent="0.3"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  <c r="Q22" s="50"/>
    </row>
    <row r="23" spans="5:17" ht="15" customHeight="1" x14ac:dyDescent="0.3"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50"/>
    </row>
    <row r="24" spans="5:17" ht="15" customHeight="1" x14ac:dyDescent="0.25">
      <c r="E24" s="222" t="s">
        <v>134</v>
      </c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</row>
    <row r="25" spans="5:17" ht="15" customHeight="1" x14ac:dyDescent="0.25">
      <c r="E25" s="217" t="s">
        <v>63</v>
      </c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</row>
    <row r="26" spans="5:17" ht="15" customHeight="1" x14ac:dyDescent="0.25">
      <c r="E26" s="223" t="s">
        <v>173</v>
      </c>
      <c r="F26" s="223"/>
      <c r="G26" s="223"/>
      <c r="H26" s="223"/>
      <c r="I26" s="223"/>
      <c r="J26" s="223"/>
      <c r="K26" s="223"/>
      <c r="L26" s="223"/>
      <c r="M26" s="223"/>
      <c r="N26" s="223"/>
      <c r="O26" s="53"/>
      <c r="P26" s="53"/>
      <c r="Q26" s="53"/>
    </row>
    <row r="27" spans="5:17" ht="9" customHeight="1" x14ac:dyDescent="0.25"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5:17" x14ac:dyDescent="0.25">
      <c r="E28" s="220"/>
      <c r="F28" s="220"/>
      <c r="G28" s="220"/>
      <c r="H28" s="220"/>
      <c r="I28" s="105"/>
      <c r="J28" s="105"/>
      <c r="K28" s="54"/>
      <c r="L28" s="54"/>
      <c r="M28" s="54"/>
      <c r="N28" s="217" t="s">
        <v>69</v>
      </c>
      <c r="O28" s="217"/>
      <c r="P28" s="217"/>
      <c r="Q28" s="217"/>
    </row>
    <row r="29" spans="5:17" x14ac:dyDescent="0.25">
      <c r="E29" s="220"/>
      <c r="F29" s="220"/>
      <c r="G29" s="220"/>
      <c r="H29" s="220"/>
      <c r="I29" s="105"/>
      <c r="J29" s="105"/>
      <c r="K29" s="55"/>
      <c r="L29" s="55"/>
      <c r="M29" s="55"/>
      <c r="N29" s="217" t="s">
        <v>73</v>
      </c>
      <c r="O29" s="217"/>
      <c r="P29" s="217"/>
      <c r="Q29" s="217"/>
    </row>
    <row r="30" spans="5:17" x14ac:dyDescent="0.25">
      <c r="E30" s="56"/>
      <c r="F30" s="56"/>
      <c r="G30" s="56"/>
      <c r="H30" s="56"/>
      <c r="I30" s="56"/>
      <c r="J30" s="56"/>
      <c r="K30" s="57"/>
      <c r="L30" s="57"/>
      <c r="M30" s="57"/>
      <c r="N30" s="103" t="s">
        <v>70</v>
      </c>
      <c r="O30" s="103"/>
      <c r="P30" s="103"/>
      <c r="Q30" s="103"/>
    </row>
    <row r="31" spans="5:17" x14ac:dyDescent="0.25">
      <c r="E31" s="56"/>
      <c r="F31" s="56"/>
      <c r="G31" s="56"/>
      <c r="H31" s="56"/>
      <c r="I31" s="56"/>
      <c r="J31" s="56"/>
      <c r="K31" s="57"/>
      <c r="L31" s="57"/>
      <c r="M31" s="57"/>
      <c r="N31" s="217" t="s">
        <v>71</v>
      </c>
      <c r="O31" s="217"/>
      <c r="P31" s="217"/>
      <c r="Q31" s="217"/>
    </row>
    <row r="32" spans="5:17" x14ac:dyDescent="0.25">
      <c r="E32" s="56"/>
      <c r="F32" s="56"/>
      <c r="G32" s="56"/>
      <c r="H32" s="56"/>
      <c r="I32" s="56"/>
      <c r="J32" s="56"/>
      <c r="K32" s="57"/>
      <c r="L32" s="57"/>
      <c r="M32" s="57"/>
      <c r="N32" s="216" t="s">
        <v>100</v>
      </c>
      <c r="O32" s="216"/>
      <c r="P32" s="216"/>
      <c r="Q32" s="216"/>
    </row>
    <row r="33" spans="5:17" x14ac:dyDescent="0.25">
      <c r="E33" s="56"/>
      <c r="F33" s="56"/>
      <c r="G33" s="56"/>
      <c r="H33" s="56"/>
      <c r="I33" s="56"/>
      <c r="J33" s="56"/>
      <c r="K33" s="57"/>
      <c r="L33" s="57"/>
      <c r="M33" s="57"/>
      <c r="N33" s="216" t="s">
        <v>72</v>
      </c>
      <c r="O33" s="216"/>
      <c r="P33" s="216"/>
      <c r="Q33" s="216"/>
    </row>
    <row r="34" spans="5:17" x14ac:dyDescent="0.25"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</sheetData>
  <mergeCells count="12">
    <mergeCell ref="N32:Q32"/>
    <mergeCell ref="N33:Q33"/>
    <mergeCell ref="N31:Q31"/>
    <mergeCell ref="E8:Q8"/>
    <mergeCell ref="E9:Q9"/>
    <mergeCell ref="N29:Q29"/>
    <mergeCell ref="E28:H28"/>
    <mergeCell ref="E29:H29"/>
    <mergeCell ref="E25:Q25"/>
    <mergeCell ref="E24:Q24"/>
    <mergeCell ref="N28:Q28"/>
    <mergeCell ref="E26:N26"/>
  </mergeCells>
  <hyperlinks>
    <hyperlink ref="N32" r:id="rId1" xr:uid="{71673C88-5463-4161-83CF-CD9CF893B618}"/>
    <hyperlink ref="N33" r:id="rId2" xr:uid="{82F5B292-7BE3-40E1-A66D-AB909AD3CE02}"/>
    <hyperlink ref="N32:Q32" r:id="rId3" location="shares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F66"/>
  <sheetViews>
    <sheetView showGridLines="0" topLeftCell="L1" workbookViewId="0">
      <selection activeCell="Y23" sqref="Y23"/>
    </sheetView>
  </sheetViews>
  <sheetFormatPr defaultColWidth="9.140625" defaultRowHeight="15" x14ac:dyDescent="0.25"/>
  <cols>
    <col min="1" max="1" width="22.5703125" style="10" customWidth="1"/>
    <col min="2" max="2" width="16.5703125" style="10" customWidth="1"/>
    <col min="3" max="4" width="17.5703125" style="10" customWidth="1"/>
    <col min="5" max="5" width="14.140625" style="10" bestFit="1" customWidth="1"/>
    <col min="6" max="6" width="14.5703125" style="10" bestFit="1" customWidth="1"/>
    <col min="7" max="7" width="13.42578125" style="10" bestFit="1" customWidth="1"/>
    <col min="8" max="8" width="12.85546875" style="10" bestFit="1" customWidth="1"/>
    <col min="9" max="9" width="15" style="10" bestFit="1" customWidth="1"/>
    <col min="10" max="10" width="6.42578125" style="10" customWidth="1"/>
    <col min="11" max="11" width="4.42578125" style="10" customWidth="1"/>
    <col min="12" max="12" width="24.5703125" style="18" bestFit="1" customWidth="1"/>
    <col min="13" max="13" width="3" style="10" customWidth="1"/>
    <col min="14" max="14" width="9.140625" style="18"/>
    <col min="15" max="15" width="2.85546875" style="10" customWidth="1"/>
    <col min="16" max="16" width="12.42578125" style="10" customWidth="1"/>
    <col min="17" max="17" width="16.140625" style="10" bestFit="1" customWidth="1"/>
    <col min="18" max="18" width="24.5703125" style="10" bestFit="1" customWidth="1"/>
    <col min="19" max="19" width="3.42578125" style="10" customWidth="1"/>
    <col min="20" max="20" width="9.42578125" style="10" bestFit="1" customWidth="1"/>
    <col min="21" max="23" width="9.140625" style="10"/>
    <col min="24" max="24" width="9.140625" style="18"/>
    <col min="25" max="25" width="9.140625" style="10"/>
    <col min="26" max="26" width="3.5703125" style="10" customWidth="1"/>
    <col min="27" max="27" width="9.140625" style="10"/>
    <col min="28" max="28" width="20" style="10" bestFit="1" customWidth="1"/>
    <col min="29" max="29" width="33.42578125" style="10" customWidth="1"/>
    <col min="30" max="31" width="9.140625" style="10"/>
    <col min="32" max="32" width="32.85546875" style="10" customWidth="1"/>
    <col min="33" max="16384" width="9.140625" style="10"/>
  </cols>
  <sheetData>
    <row r="1" spans="1:32" x14ac:dyDescent="0.25">
      <c r="A1" s="12" t="str">
        <f>A4&amp;" vs. "&amp;A5</f>
        <v>Total current assets vs. Total current liabilities</v>
      </c>
      <c r="B1" s="12"/>
    </row>
    <row r="2" spans="1:32" x14ac:dyDescent="0.25">
      <c r="L2" s="18" t="s">
        <v>78</v>
      </c>
      <c r="N2" s="18" t="s">
        <v>79</v>
      </c>
      <c r="X2" s="18" t="s">
        <v>80</v>
      </c>
    </row>
    <row r="3" spans="1:32" x14ac:dyDescent="0.25">
      <c r="B3" s="14">
        <v>2021</v>
      </c>
      <c r="C3" s="14">
        <f>B3+1</f>
        <v>2022</v>
      </c>
      <c r="D3" s="14">
        <f t="shared" ref="D3:F3" si="0">C3+1</f>
        <v>2023</v>
      </c>
      <c r="E3" s="14">
        <f t="shared" si="0"/>
        <v>2024</v>
      </c>
      <c r="F3" s="14">
        <f t="shared" si="0"/>
        <v>2025</v>
      </c>
      <c r="G3" s="14"/>
      <c r="H3" s="14"/>
      <c r="L3" s="18" t="s">
        <v>3</v>
      </c>
      <c r="N3" s="18" t="s">
        <v>76</v>
      </c>
      <c r="P3" s="10">
        <v>1</v>
      </c>
      <c r="Q3" s="10" t="s">
        <v>77</v>
      </c>
      <c r="R3" s="10" t="s">
        <v>3</v>
      </c>
      <c r="S3" s="10" t="str">
        <f>IF(Q3=$A$8,P3,"")</f>
        <v/>
      </c>
      <c r="T3" s="10">
        <f>SMALL($S$3:$S$10,ROWS(S3:$S$3))</f>
        <v>7</v>
      </c>
      <c r="U3" s="10" t="str">
        <f>VLOOKUP(T3,$P$3:$R$10,3,0)</f>
        <v>Total liabilities</v>
      </c>
      <c r="X3" s="18" t="s">
        <v>81</v>
      </c>
      <c r="AA3" s="10">
        <v>1</v>
      </c>
      <c r="AB3" s="10" t="s">
        <v>81</v>
      </c>
      <c r="AC3" s="10" t="s">
        <v>1</v>
      </c>
      <c r="AD3" s="10" t="str">
        <f>IF(AB3=Charts!$F$20,hiddenPage!AA3,"")</f>
        <v/>
      </c>
      <c r="AE3" s="10">
        <f>SMALL($AD$3:$AD$35,ROWS($AD3:AD$3))</f>
        <v>8</v>
      </c>
      <c r="AF3" s="10" t="str">
        <f t="shared" ref="AF3:AF13" si="1">IF(ISERROR(VLOOKUP(AE3,$AA$3:$AC$40,3,0)),"",VLOOKUP(AE3,$AA$3:$AC$40,3,0))</f>
        <v>Current inventories</v>
      </c>
    </row>
    <row r="4" spans="1:32" x14ac:dyDescent="0.25">
      <c r="A4" s="13" t="str">
        <f>Charts!F2</f>
        <v>Total current assets</v>
      </c>
      <c r="B4" s="15">
        <f>SUMIF('1.FinancialPosition'!$B:$B,$A4,'1.FinancialPosition'!C:C)</f>
        <v>134454393.24675953</v>
      </c>
      <c r="C4" s="15">
        <f>SUMIF('1.FinancialPosition'!$B:$B,$A4,'1.FinancialPosition'!D:D)</f>
        <v>209568594</v>
      </c>
      <c r="D4" s="15">
        <f>SUMIF('1.FinancialPosition'!$B:$B,$A4,'1.FinancialPosition'!E:E)</f>
        <v>157796518</v>
      </c>
      <c r="E4" s="15">
        <f>SUMIF('1.FinancialPosition'!$B:$B,$A4,'1.FinancialPosition'!F:F)</f>
        <v>136339239</v>
      </c>
      <c r="F4" s="15">
        <f>SUMIF('1.FinancialPosition'!$B:$B,$A4,'1.FinancialPosition'!G:G)</f>
        <v>121304753</v>
      </c>
      <c r="G4" s="15"/>
      <c r="H4" s="15"/>
      <c r="L4" s="18" t="s">
        <v>4</v>
      </c>
      <c r="N4" s="18" t="s">
        <v>77</v>
      </c>
      <c r="P4" s="10">
        <v>2</v>
      </c>
      <c r="Q4" s="10" t="s">
        <v>77</v>
      </c>
      <c r="R4" s="10" t="s">
        <v>4</v>
      </c>
      <c r="S4" s="10" t="str">
        <f t="shared" ref="S4:S10" si="2">IF(Q4=$A$8,P4,"")</f>
        <v/>
      </c>
      <c r="T4" s="10">
        <f>SMALL($S$3:$S$10,ROWS(S$3:$S4))</f>
        <v>8</v>
      </c>
      <c r="U4" s="10" t="str">
        <f t="shared" ref="U4:U10" si="3">VLOOKUP(T4,$P$3:$R$10,3,0)</f>
        <v>Total Equity</v>
      </c>
      <c r="X4" s="18" t="s">
        <v>66</v>
      </c>
      <c r="AA4" s="10">
        <f>AA3+1</f>
        <v>2</v>
      </c>
      <c r="AB4" s="10" t="s">
        <v>81</v>
      </c>
      <c r="AC4" s="10" t="s">
        <v>2</v>
      </c>
      <c r="AD4" s="10" t="str">
        <f>IF(AB4=Charts!$F$20,hiddenPage!AA4,"")</f>
        <v/>
      </c>
      <c r="AE4" s="10">
        <f>SMALL($AD$3:$AD$35,ROWS($AD$3:AD4))</f>
        <v>9</v>
      </c>
      <c r="AF4" s="10" t="str">
        <f t="shared" si="1"/>
        <v>Trade and other current receivables</v>
      </c>
    </row>
    <row r="5" spans="1:32" x14ac:dyDescent="0.25">
      <c r="A5" s="13" t="str">
        <f>Charts!F3</f>
        <v>Total current liabilities</v>
      </c>
      <c r="B5" s="15">
        <f>SUMIF('1.FinancialPosition'!$B:$B,$A5,'1.FinancialPosition'!C:C)</f>
        <v>130578926.71184984</v>
      </c>
      <c r="C5" s="15">
        <f>SUMIF('1.FinancialPosition'!$B:$B,$A5,'1.FinancialPosition'!D:D)</f>
        <v>147792245</v>
      </c>
      <c r="D5" s="15">
        <f>SUMIF('1.FinancialPosition'!$B:$B,$A5,'1.FinancialPosition'!E:E)</f>
        <v>114050832</v>
      </c>
      <c r="E5" s="15">
        <f>SUMIF('1.FinancialPosition'!$B:$B,$A5,'1.FinancialPosition'!F:F)</f>
        <v>119241384</v>
      </c>
      <c r="F5" s="15">
        <f>SUMIF('1.FinancialPosition'!$B:$B,$A5,'1.FinancialPosition'!G:G)</f>
        <v>105163009</v>
      </c>
      <c r="G5" s="15"/>
      <c r="H5" s="15"/>
      <c r="L5" s="18" t="s">
        <v>5</v>
      </c>
      <c r="N5" s="18" t="s">
        <v>164</v>
      </c>
      <c r="P5" s="10">
        <v>3</v>
      </c>
      <c r="Q5" s="10" t="s">
        <v>76</v>
      </c>
      <c r="R5" s="10" t="s">
        <v>11</v>
      </c>
      <c r="S5" s="10" t="str">
        <f t="shared" si="2"/>
        <v/>
      </c>
      <c r="T5" s="10" t="e">
        <f>SMALL($S$3:$S$10,ROWS(S$3:$S5))</f>
        <v>#NUM!</v>
      </c>
      <c r="U5" s="10" t="e">
        <f t="shared" si="3"/>
        <v>#NUM!</v>
      </c>
      <c r="X5" s="18" t="s">
        <v>82</v>
      </c>
      <c r="AA5" s="10">
        <f t="shared" ref="AA5:AA36" si="4">AA4+1</f>
        <v>3</v>
      </c>
      <c r="AB5" s="10" t="s">
        <v>81</v>
      </c>
      <c r="AC5" s="10" t="s">
        <v>139</v>
      </c>
      <c r="AD5" s="10" t="str">
        <f>IF(AB5=Charts!$F$20,hiddenPage!AA5,"")</f>
        <v/>
      </c>
      <c r="AE5" s="10">
        <f>SMALL($AD$3:$AD$35,ROWS($AD$3:AD5))</f>
        <v>10</v>
      </c>
      <c r="AF5" s="10" t="str">
        <f t="shared" si="1"/>
        <v>Other current financial assets</v>
      </c>
    </row>
    <row r="6" spans="1:32" x14ac:dyDescent="0.25">
      <c r="L6" s="18" t="s">
        <v>9</v>
      </c>
      <c r="N6" s="18" t="s">
        <v>85</v>
      </c>
      <c r="P6" s="10">
        <v>4</v>
      </c>
      <c r="Q6" s="10" t="s">
        <v>76</v>
      </c>
      <c r="R6" s="10" t="s">
        <v>12</v>
      </c>
      <c r="S6" s="10" t="str">
        <f t="shared" si="2"/>
        <v/>
      </c>
      <c r="T6" s="10" t="e">
        <f>SMALL($S$3:$S$10,ROWS(S$3:$S6))</f>
        <v>#NUM!</v>
      </c>
      <c r="U6" s="10" t="e">
        <f t="shared" si="3"/>
        <v>#NUM!</v>
      </c>
      <c r="X6" s="18" t="s">
        <v>83</v>
      </c>
      <c r="AA6" s="10">
        <f t="shared" si="4"/>
        <v>4</v>
      </c>
      <c r="AB6" s="10" t="s">
        <v>81</v>
      </c>
      <c r="AC6" s="10" t="s">
        <v>140</v>
      </c>
      <c r="AD6" s="10" t="str">
        <f>IF(AB6=Charts!$F$20,hiddenPage!AA6,"")</f>
        <v/>
      </c>
      <c r="AE6" s="10">
        <f>SMALL($AD$3:$AD$35,ROWS($AD$3:AD6))</f>
        <v>11</v>
      </c>
      <c r="AF6" s="10" t="str">
        <f t="shared" si="1"/>
        <v>Other current non-financial assets</v>
      </c>
    </row>
    <row r="7" spans="1:32" x14ac:dyDescent="0.25">
      <c r="A7" s="12" t="str">
        <f>A10&amp;" vs. "&amp;A11</f>
        <v>Total liabilities vs. Total Equity</v>
      </c>
      <c r="B7" s="12"/>
      <c r="C7" s="12"/>
      <c r="D7" s="11" t="str">
        <f>I9&amp;" structure of "&amp;A8</f>
        <v>2025 structure of Equity&amp;Liabilities</v>
      </c>
      <c r="E7" s="11"/>
      <c r="L7" s="18" t="s">
        <v>11</v>
      </c>
      <c r="P7" s="10">
        <v>5</v>
      </c>
      <c r="Q7" s="10" t="s">
        <v>164</v>
      </c>
      <c r="R7" s="10" t="s">
        <v>152</v>
      </c>
      <c r="S7" s="10" t="str">
        <f t="shared" si="2"/>
        <v/>
      </c>
      <c r="T7" s="10" t="e">
        <f>SMALL($S$3:$S$10,ROWS(S$3:$S7))</f>
        <v>#NUM!</v>
      </c>
      <c r="U7" s="10" t="e">
        <f t="shared" si="3"/>
        <v>#NUM!</v>
      </c>
      <c r="X7" s="18" t="s">
        <v>84</v>
      </c>
      <c r="AA7" s="10">
        <f t="shared" si="4"/>
        <v>5</v>
      </c>
      <c r="AB7" s="10" t="s">
        <v>81</v>
      </c>
      <c r="AC7" s="10" t="s">
        <v>141</v>
      </c>
      <c r="AD7" s="10" t="str">
        <f>IF(AB7=Charts!$F$20,hiddenPage!AA7,"")</f>
        <v/>
      </c>
      <c r="AE7" s="10">
        <f>SMALL($AD$3:$AD$35,ROWS($AD$3:AD7))</f>
        <v>12</v>
      </c>
      <c r="AF7" s="10" t="str">
        <f t="shared" si="1"/>
        <v>Cash and cash equivalents</v>
      </c>
    </row>
    <row r="8" spans="1:32" x14ac:dyDescent="0.25">
      <c r="A8" s="10" t="str">
        <f>Charts!N2</f>
        <v>Equity&amp;Liabilities</v>
      </c>
      <c r="B8" s="10">
        <f>IF(B9=Charts!$T$2,1,0)</f>
        <v>0</v>
      </c>
      <c r="C8" s="10">
        <f>IF(C9=Charts!$T$2,1,0)</f>
        <v>0</v>
      </c>
      <c r="D8" s="10">
        <f>IF(D9=Charts!$T$2,1,0)</f>
        <v>0</v>
      </c>
      <c r="E8" s="10">
        <f>IF(E9=Charts!$T$2,1,0)</f>
        <v>0</v>
      </c>
      <c r="F8" s="10">
        <f>IF(F9=Charts!$T$2,1,0)</f>
        <v>1</v>
      </c>
      <c r="L8" s="18" t="s">
        <v>12</v>
      </c>
      <c r="P8" s="10">
        <v>6</v>
      </c>
      <c r="Q8" s="10" t="s">
        <v>164</v>
      </c>
      <c r="R8" s="10" t="s">
        <v>155</v>
      </c>
      <c r="S8" s="10" t="str">
        <f t="shared" si="2"/>
        <v/>
      </c>
      <c r="T8" s="10" t="e">
        <f>SMALL($S$3:$S$10,ROWS(S$3:$S8))</f>
        <v>#NUM!</v>
      </c>
      <c r="U8" s="10" t="e">
        <f t="shared" si="3"/>
        <v>#NUM!</v>
      </c>
      <c r="AA8" s="10">
        <f t="shared" si="4"/>
        <v>6</v>
      </c>
      <c r="AB8" s="10" t="s">
        <v>81</v>
      </c>
      <c r="AC8" s="10" t="s">
        <v>142</v>
      </c>
      <c r="AD8" s="10" t="str">
        <f>IF(AB8=Charts!$F$20,hiddenPage!AA8,"")</f>
        <v/>
      </c>
      <c r="AE8" s="10">
        <f>SMALL($AD$3:$AD$35,ROWS($AD$3:AD8))</f>
        <v>13</v>
      </c>
      <c r="AF8" s="10" t="str">
        <f t="shared" si="1"/>
        <v>Non-current assets or disposal groups classified as held for sale or as held for distribution to owners</v>
      </c>
    </row>
    <row r="9" spans="1:32" x14ac:dyDescent="0.25">
      <c r="B9" s="14">
        <f>B3</f>
        <v>2021</v>
      </c>
      <c r="C9" s="14">
        <f t="shared" ref="C9:F9" si="5">C3</f>
        <v>2022</v>
      </c>
      <c r="D9" s="14">
        <f t="shared" si="5"/>
        <v>2023</v>
      </c>
      <c r="E9" s="14">
        <f t="shared" si="5"/>
        <v>2024</v>
      </c>
      <c r="F9" s="14">
        <f t="shared" si="5"/>
        <v>2025</v>
      </c>
      <c r="G9" s="14"/>
      <c r="H9" s="14"/>
      <c r="I9" s="14">
        <f>Charts!T2</f>
        <v>2025</v>
      </c>
      <c r="L9" s="18" t="s">
        <v>13</v>
      </c>
      <c r="P9" s="10">
        <v>7</v>
      </c>
      <c r="Q9" s="10" t="s">
        <v>85</v>
      </c>
      <c r="R9" s="10" t="s">
        <v>13</v>
      </c>
      <c r="S9" s="10">
        <f t="shared" si="2"/>
        <v>7</v>
      </c>
      <c r="T9" s="10" t="e">
        <f>SMALL($S$3:$S$10,ROWS(S$3:$S9))</f>
        <v>#NUM!</v>
      </c>
      <c r="U9" s="10" t="e">
        <f t="shared" si="3"/>
        <v>#NUM!</v>
      </c>
      <c r="AA9" s="10">
        <f t="shared" si="4"/>
        <v>7</v>
      </c>
      <c r="AB9" s="10" t="s">
        <v>81</v>
      </c>
      <c r="AC9" s="10" t="s">
        <v>143</v>
      </c>
      <c r="AD9" s="10" t="str">
        <f>IF(AB9=Charts!$F$20,hiddenPage!AA9,"")</f>
        <v/>
      </c>
      <c r="AE9" s="10" t="e">
        <f>SMALL($AD$3:$AD$35,ROWS($AD$3:AD9))</f>
        <v>#NUM!</v>
      </c>
      <c r="AF9" s="10" t="str">
        <f t="shared" si="1"/>
        <v/>
      </c>
    </row>
    <row r="10" spans="1:32" x14ac:dyDescent="0.25">
      <c r="A10" s="13" t="str">
        <f>U3</f>
        <v>Total liabilities</v>
      </c>
      <c r="B10" s="15">
        <f>SUMIF('1.FinancialPosition'!$B:$B,$A10,'1.FinancialPosition'!C:C)</f>
        <v>162890245.33184984</v>
      </c>
      <c r="C10" s="15">
        <f>SUMIF('1.FinancialPosition'!$B:$B,$A10,'1.FinancialPosition'!D:D)</f>
        <v>174431279</v>
      </c>
      <c r="D10" s="15">
        <f>SUMIF('1.FinancialPosition'!$B:$B,$A10,'1.FinancialPosition'!E:E)</f>
        <v>140526029</v>
      </c>
      <c r="E10" s="15">
        <f>SUMIF('1.FinancialPosition'!$B:$B,$A10,'1.FinancialPosition'!F:F)</f>
        <v>136132381</v>
      </c>
      <c r="F10" s="15">
        <f>SUMIF('1.FinancialPosition'!$B:$B,$A10,'1.FinancialPosition'!G:G)</f>
        <v>121626924</v>
      </c>
      <c r="G10" s="15"/>
      <c r="H10" s="15"/>
      <c r="I10" s="15">
        <f>SUMPRODUCT(B10:H10,$B$8:$H$8)</f>
        <v>121626924</v>
      </c>
      <c r="L10" s="18" t="s">
        <v>14</v>
      </c>
      <c r="P10" s="10">
        <v>8</v>
      </c>
      <c r="Q10" s="10" t="s">
        <v>85</v>
      </c>
      <c r="R10" s="10" t="s">
        <v>9</v>
      </c>
      <c r="S10" s="10">
        <f t="shared" si="2"/>
        <v>8</v>
      </c>
      <c r="T10" s="10" t="e">
        <f>SMALL($S$3:$S$10,ROWS(S$3:$S10))</f>
        <v>#NUM!</v>
      </c>
      <c r="U10" s="10" t="e">
        <f t="shared" si="3"/>
        <v>#NUM!</v>
      </c>
      <c r="AA10" s="10">
        <f t="shared" si="4"/>
        <v>8</v>
      </c>
      <c r="AB10" s="10" t="s">
        <v>66</v>
      </c>
      <c r="AC10" s="10" t="s">
        <v>144</v>
      </c>
      <c r="AD10" s="10">
        <f>IF(AB10=Charts!$F$20,hiddenPage!AA10,"")</f>
        <v>8</v>
      </c>
      <c r="AE10" s="10" t="e">
        <f>SMALL($AD$3:$AD$35,ROWS($AD$3:AD10))</f>
        <v>#NUM!</v>
      </c>
      <c r="AF10" s="10" t="str">
        <f t="shared" si="1"/>
        <v/>
      </c>
    </row>
    <row r="11" spans="1:32" x14ac:dyDescent="0.25">
      <c r="A11" s="13" t="str">
        <f>U4</f>
        <v>Total Equity</v>
      </c>
      <c r="B11" s="15">
        <f>SUMIF('1.FinancialPosition'!$B:$B,$A11,'1.FinancialPosition'!C:C)</f>
        <v>138920166.01707643</v>
      </c>
      <c r="C11" s="15">
        <f>SUMIF('1.FinancialPosition'!$B:$B,$A11,'1.FinancialPosition'!D:D)</f>
        <v>169680251</v>
      </c>
      <c r="D11" s="15">
        <f>SUMIF('1.FinancialPosition'!$B:$B,$A11,'1.FinancialPosition'!E:E)</f>
        <v>152044804</v>
      </c>
      <c r="E11" s="15">
        <f>SUMIF('1.FinancialPosition'!$B:$B,$A11,'1.FinancialPosition'!F:F)</f>
        <v>139210785</v>
      </c>
      <c r="F11" s="15">
        <f>SUMIF('1.FinancialPosition'!$B:$B,$A11,'1.FinancialPosition'!G:G)</f>
        <v>137769064</v>
      </c>
      <c r="G11" s="15"/>
      <c r="H11" s="15"/>
      <c r="I11" s="15">
        <f>SUMPRODUCT(B11:H11,$B$8:$H$8)</f>
        <v>137769064</v>
      </c>
      <c r="AA11" s="10">
        <f t="shared" si="4"/>
        <v>9</v>
      </c>
      <c r="AB11" s="10" t="s">
        <v>66</v>
      </c>
      <c r="AC11" s="10" t="s">
        <v>145</v>
      </c>
      <c r="AD11" s="10">
        <f>IF(AB11=Charts!$F$20,hiddenPage!AA11,"")</f>
        <v>9</v>
      </c>
      <c r="AE11" s="10" t="e">
        <f>SMALL($AD$3:$AD$35,ROWS($AD$3:AD11))</f>
        <v>#NUM!</v>
      </c>
      <c r="AF11" s="10" t="str">
        <f t="shared" si="1"/>
        <v/>
      </c>
    </row>
    <row r="12" spans="1:32" x14ac:dyDescent="0.25">
      <c r="B12" s="21">
        <f>B10+B11</f>
        <v>301810411.34892631</v>
      </c>
      <c r="C12" s="21">
        <f t="shared" ref="C12:F12" si="6">C10+C11</f>
        <v>344111530</v>
      </c>
      <c r="D12" s="21">
        <f t="shared" si="6"/>
        <v>292570833</v>
      </c>
      <c r="E12" s="21">
        <f t="shared" si="6"/>
        <v>275343166</v>
      </c>
      <c r="F12" s="21">
        <f t="shared" si="6"/>
        <v>259395988</v>
      </c>
      <c r="AA12" s="10">
        <f t="shared" si="4"/>
        <v>10</v>
      </c>
      <c r="AB12" s="10" t="s">
        <v>66</v>
      </c>
      <c r="AC12" s="10" t="s">
        <v>136</v>
      </c>
      <c r="AD12" s="10">
        <f>IF(AB12=Charts!$F$20,hiddenPage!AA12,"")</f>
        <v>10</v>
      </c>
      <c r="AE12" s="10" t="e">
        <f>SMALL($AD$3:$AD$35,ROWS($AD$3:AD12))</f>
        <v>#NUM!</v>
      </c>
      <c r="AF12" s="10" t="str">
        <f t="shared" si="1"/>
        <v/>
      </c>
    </row>
    <row r="13" spans="1:32" x14ac:dyDescent="0.25">
      <c r="A13" s="10" t="str">
        <f>"Structure of "&amp;Charts!F20&amp;" in "&amp;Charts!F21</f>
        <v>Structure of Current assets in 2025</v>
      </c>
      <c r="AA13" s="10">
        <f t="shared" si="4"/>
        <v>11</v>
      </c>
      <c r="AB13" s="10" t="s">
        <v>66</v>
      </c>
      <c r="AC13" s="10" t="s">
        <v>146</v>
      </c>
      <c r="AD13" s="10">
        <f>IF(AB13=Charts!$F$20,hiddenPage!AA13,"")</f>
        <v>11</v>
      </c>
      <c r="AE13" s="10" t="e">
        <f>SMALL($AD$3:$AD$35,ROWS($AD$3:AD13))</f>
        <v>#NUM!</v>
      </c>
      <c r="AF13" s="10" t="str">
        <f t="shared" si="1"/>
        <v/>
      </c>
    </row>
    <row r="14" spans="1:32" x14ac:dyDescent="0.25">
      <c r="B14" s="10">
        <f>IF(Charts!$F$21=B15,1,0)</f>
        <v>0</v>
      </c>
      <c r="C14" s="10">
        <f>IF(Charts!$F$21=C15,1,0)</f>
        <v>0</v>
      </c>
      <c r="D14" s="10">
        <f>IF(Charts!$F$21=D15,1,0)</f>
        <v>0</v>
      </c>
      <c r="E14" s="10">
        <f>IF(Charts!$F$21=E15,1,0)</f>
        <v>0</v>
      </c>
      <c r="F14" s="10">
        <f>IF(Charts!$F$21=F15,1,0)</f>
        <v>1</v>
      </c>
      <c r="G14" s="10">
        <f>IF(Charts!$F$21=G15,1,0)</f>
        <v>0</v>
      </c>
      <c r="H14" s="10">
        <f>IF(Charts!$F$21=H15,1,0)</f>
        <v>0</v>
      </c>
      <c r="AA14" s="10">
        <f t="shared" si="4"/>
        <v>12</v>
      </c>
      <c r="AB14" s="10" t="s">
        <v>66</v>
      </c>
      <c r="AC14" s="10" t="s">
        <v>147</v>
      </c>
      <c r="AD14" s="10">
        <f>IF(AB14=Charts!$F$20,hiddenPage!AA14,"")</f>
        <v>12</v>
      </c>
      <c r="AE14" s="10" t="e">
        <f>SMALL($AD$3:$AD$35,ROWS($AD$3:AD14))</f>
        <v>#NUM!</v>
      </c>
    </row>
    <row r="15" spans="1:32" x14ac:dyDescent="0.25">
      <c r="A15" s="12"/>
      <c r="B15" s="25">
        <f>B9</f>
        <v>2021</v>
      </c>
      <c r="C15" s="25">
        <f t="shared" ref="C15:F15" si="7">C9</f>
        <v>2022</v>
      </c>
      <c r="D15" s="25">
        <f t="shared" si="7"/>
        <v>2023</v>
      </c>
      <c r="E15" s="25">
        <f t="shared" si="7"/>
        <v>2024</v>
      </c>
      <c r="F15" s="25">
        <f t="shared" si="7"/>
        <v>2025</v>
      </c>
      <c r="G15" s="25"/>
      <c r="H15" s="25"/>
      <c r="I15" s="19" t="s">
        <v>93</v>
      </c>
      <c r="J15" s="19" t="s">
        <v>94</v>
      </c>
      <c r="K15" s="19"/>
      <c r="L15" s="18" t="s">
        <v>95</v>
      </c>
      <c r="M15" s="19"/>
      <c r="N15" s="4" t="s">
        <v>96</v>
      </c>
      <c r="O15" s="4"/>
      <c r="P15" s="4"/>
      <c r="Q15" s="4" t="s">
        <v>97</v>
      </c>
      <c r="R15" s="4" t="s">
        <v>98</v>
      </c>
      <c r="AA15" s="10">
        <f t="shared" si="4"/>
        <v>13</v>
      </c>
      <c r="AB15" s="10" t="s">
        <v>66</v>
      </c>
      <c r="AC15" s="10" t="s">
        <v>148</v>
      </c>
      <c r="AD15" s="10">
        <f>IF(AB15=Charts!$F$20,hiddenPage!AA15,"")</f>
        <v>13</v>
      </c>
      <c r="AE15" s="10" t="e">
        <f>SMALL($AD$3:$AD$35,ROWS($AD$3:AD15))</f>
        <v>#NUM!</v>
      </c>
      <c r="AF15" s="10" t="str">
        <f>IF(ISERROR(VLOOKUP(AE15,$AA$3:$AC$40,3,0)),"",VLOOKUP(AE15,$AA$3:$AC$40,3,0))</f>
        <v/>
      </c>
    </row>
    <row r="16" spans="1:32" x14ac:dyDescent="0.25">
      <c r="A16" s="12" t="str">
        <f>AF3</f>
        <v>Current inventories</v>
      </c>
      <c r="B16" s="26">
        <f>SUMIF('1.FinancialPosition'!$B:$B,$A16,'1.FinancialPosition'!C:C)</f>
        <v>54803658.57558158</v>
      </c>
      <c r="C16" s="26">
        <f>SUMIF('1.FinancialPosition'!$B:$B,$A16,'1.FinancialPosition'!D:D)</f>
        <v>65899751</v>
      </c>
      <c r="D16" s="26">
        <f>SUMIF('1.FinancialPosition'!$B:$B,$A16,'1.FinancialPosition'!E:E)</f>
        <v>59716567</v>
      </c>
      <c r="E16" s="26">
        <f>SUMIF('1.FinancialPosition'!$B:$B,$A16,'1.FinancialPosition'!F:F)</f>
        <v>64110951</v>
      </c>
      <c r="F16" s="26">
        <f>SUMIF('1.FinancialPosition'!$B:$B,$A16,'1.FinancialPosition'!G:G)</f>
        <v>50826686</v>
      </c>
      <c r="G16" s="26"/>
      <c r="H16" s="26"/>
      <c r="I16" s="28">
        <f>SUMPRODUCT($B$14:$H$14,B16:H16)</f>
        <v>50826686</v>
      </c>
      <c r="J16" s="29">
        <f>RANK(I16,$I$16:$I$22,0)+COUNTIF($I16:I$22,I16)-1</f>
        <v>1</v>
      </c>
      <c r="K16" s="19"/>
      <c r="L16" s="18">
        <v>1</v>
      </c>
      <c r="M16" s="19"/>
      <c r="N16" s="4" t="str">
        <f>INDEX($A$16:$A$22,MATCH(L16,$J$16:$J$22,0))</f>
        <v>Current inventories</v>
      </c>
      <c r="O16" s="4"/>
      <c r="P16" s="4"/>
      <c r="Q16" s="30">
        <f>SUMIF($A$16:$A$22,N16,$I$16:$I$22)</f>
        <v>50826686</v>
      </c>
      <c r="R16" s="31">
        <f>Q16/$Q$23</f>
        <v>0.41899995460194372</v>
      </c>
      <c r="AA16" s="10">
        <f t="shared" si="4"/>
        <v>14</v>
      </c>
      <c r="AB16" s="10" t="s">
        <v>84</v>
      </c>
      <c r="AC16" s="10" t="s">
        <v>6</v>
      </c>
      <c r="AD16" s="10" t="str">
        <f>IF(AB16=Charts!$F$20,hiddenPage!AA16,"")</f>
        <v/>
      </c>
      <c r="AE16" s="10" t="e">
        <f>SMALL($AD$3:$AD$35,ROWS($AD$3:AD16))</f>
        <v>#NUM!</v>
      </c>
    </row>
    <row r="17" spans="1:32" x14ac:dyDescent="0.25">
      <c r="A17" s="12" t="str">
        <f t="shared" ref="A17:A22" si="8">AF4</f>
        <v>Trade and other current receivables</v>
      </c>
      <c r="B17" s="26">
        <f>SUMIF('1.FinancialPosition'!$B:$B,$A17,'1.FinancialPosition'!C:C)</f>
        <v>53054233.585505947</v>
      </c>
      <c r="C17" s="26">
        <f>SUMIF('1.FinancialPosition'!$B:$B,$A17,'1.FinancialPosition'!D:D)</f>
        <v>60979526</v>
      </c>
      <c r="D17" s="26">
        <f>SUMIF('1.FinancialPosition'!$B:$B,$A17,'1.FinancialPosition'!E:E)</f>
        <v>60437183</v>
      </c>
      <c r="E17" s="26">
        <f>SUMIF('1.FinancialPosition'!$B:$B,$A17,'1.FinancialPosition'!F:F)</f>
        <v>54097088</v>
      </c>
      <c r="F17" s="26">
        <f>SUMIF('1.FinancialPosition'!$B:$B,$A17,'1.FinancialPosition'!G:G)</f>
        <v>44933367</v>
      </c>
      <c r="G17" s="26"/>
      <c r="H17" s="26"/>
      <c r="I17" s="28">
        <f t="shared" ref="I17:I22" si="9">SUMPRODUCT($B$14:$H$14,B17:H17)</f>
        <v>44933367</v>
      </c>
      <c r="J17" s="29">
        <f>RANK(I17,$I$16:$I$22,0)+COUNTIF($I17:I$22,I17)-1</f>
        <v>2</v>
      </c>
      <c r="K17" s="19"/>
      <c r="L17" s="18">
        <v>2</v>
      </c>
      <c r="M17" s="19"/>
      <c r="N17" s="4" t="str">
        <f t="shared" ref="N17:N22" si="10">INDEX($A$16:$A$22,MATCH(L17,$J$16:$J$22,0))</f>
        <v>Trade and other current receivables</v>
      </c>
      <c r="O17" s="4"/>
      <c r="P17" s="4"/>
      <c r="Q17" s="30">
        <f t="shared" ref="Q17:Q22" si="11">SUMIF($A$16:$A$22,N17,$I$16:$I$22)</f>
        <v>44933367</v>
      </c>
      <c r="R17" s="31">
        <f t="shared" ref="R17:R22" si="12">Q17/$Q$23</f>
        <v>0.37041720038785292</v>
      </c>
      <c r="AA17" s="10">
        <f t="shared" si="4"/>
        <v>15</v>
      </c>
      <c r="AB17" s="10" t="s">
        <v>84</v>
      </c>
      <c r="AC17" s="10" t="s">
        <v>7</v>
      </c>
      <c r="AD17" s="10" t="str">
        <f>IF(AB17=Charts!$F$20,hiddenPage!AA17,"")</f>
        <v/>
      </c>
      <c r="AE17" s="10" t="e">
        <f>SMALL($AD$3:$AD$35,ROWS($AD$3:AD17))</f>
        <v>#NUM!</v>
      </c>
    </row>
    <row r="18" spans="1:32" x14ac:dyDescent="0.25">
      <c r="A18" s="12" t="str">
        <f t="shared" si="8"/>
        <v>Other current financial assets</v>
      </c>
      <c r="B18" s="26">
        <f>SUMIF('1.FinancialPosition'!$B:$B,$A18,'1.FinancialPosition'!C:C)</f>
        <v>617901.78</v>
      </c>
      <c r="C18" s="26">
        <f>SUMIF('1.FinancialPosition'!$B:$B,$A18,'1.FinancialPosition'!D:D)</f>
        <v>263414</v>
      </c>
      <c r="D18" s="26">
        <f>SUMIF('1.FinancialPosition'!$B:$B,$A18,'1.FinancialPosition'!E:E)</f>
        <v>2833298</v>
      </c>
      <c r="E18" s="26">
        <f>SUMIF('1.FinancialPosition'!$B:$B,$A18,'1.FinancialPosition'!F:F)</f>
        <v>2621744</v>
      </c>
      <c r="F18" s="26">
        <f>SUMIF('1.FinancialPosition'!$B:$B,$A18,'1.FinancialPosition'!G:G)</f>
        <v>1284301</v>
      </c>
      <c r="G18" s="26"/>
      <c r="H18" s="26"/>
      <c r="I18" s="28">
        <f t="shared" si="9"/>
        <v>1284301</v>
      </c>
      <c r="J18" s="29">
        <f>RANK(I18,$I$16:$I$22,0)+COUNTIF($I18:I$22,I18)-1</f>
        <v>4</v>
      </c>
      <c r="K18" s="19"/>
      <c r="L18" s="18">
        <v>3</v>
      </c>
      <c r="M18" s="19"/>
      <c r="N18" s="4" t="str">
        <f t="shared" si="10"/>
        <v>Cash and cash equivalents</v>
      </c>
      <c r="O18" s="4"/>
      <c r="P18" s="4"/>
      <c r="Q18" s="30">
        <f t="shared" si="11"/>
        <v>23633637</v>
      </c>
      <c r="R18" s="31">
        <f t="shared" si="12"/>
        <v>0.19482861483589187</v>
      </c>
      <c r="AA18" s="10">
        <f t="shared" si="4"/>
        <v>16</v>
      </c>
      <c r="AB18" s="10" t="s">
        <v>84</v>
      </c>
      <c r="AC18" s="10" t="s">
        <v>149</v>
      </c>
      <c r="AD18" s="10" t="str">
        <f>IF(AB18=Charts!$F$20,hiddenPage!AA18,"")</f>
        <v/>
      </c>
      <c r="AE18" s="10" t="e">
        <f>SMALL($AD$3:$AD$35,ROWS($AD$3:AD18))</f>
        <v>#NUM!</v>
      </c>
    </row>
    <row r="19" spans="1:32" x14ac:dyDescent="0.25">
      <c r="A19" s="12" t="str">
        <f t="shared" si="8"/>
        <v>Other current non-financial assets</v>
      </c>
      <c r="B19" s="26">
        <f>SUMIF('1.FinancialPosition'!$B:$B,$A19,'1.FinancialPosition'!C:C)</f>
        <v>4621551.3065499999</v>
      </c>
      <c r="C19" s="26">
        <f>SUMIF('1.FinancialPosition'!$B:$B,$A19,'1.FinancialPosition'!D:D)</f>
        <v>4796687</v>
      </c>
      <c r="D19" s="26">
        <f>SUMIF('1.FinancialPosition'!$B:$B,$A19,'1.FinancialPosition'!E:E)</f>
        <v>1093312</v>
      </c>
      <c r="E19" s="26">
        <f>SUMIF('1.FinancialPosition'!$B:$B,$A19,'1.FinancialPosition'!F:F)</f>
        <v>1156150</v>
      </c>
      <c r="F19" s="26">
        <f>SUMIF('1.FinancialPosition'!$B:$B,$A19,'1.FinancialPosition'!G:G)</f>
        <v>626762</v>
      </c>
      <c r="G19" s="26"/>
      <c r="H19" s="26"/>
      <c r="I19" s="28">
        <f t="shared" si="9"/>
        <v>626762</v>
      </c>
      <c r="J19" s="29">
        <f>RANK(I19,$I$16:$I$22,0)+COUNTIF($I19:I$22,I19)-1</f>
        <v>5</v>
      </c>
      <c r="K19" s="19"/>
      <c r="L19" s="18">
        <v>4</v>
      </c>
      <c r="M19" s="19"/>
      <c r="N19" s="4" t="str">
        <f t="shared" si="10"/>
        <v>Other current financial assets</v>
      </c>
      <c r="O19" s="4"/>
      <c r="P19" s="4"/>
      <c r="Q19" s="30">
        <f t="shared" si="11"/>
        <v>1284301</v>
      </c>
      <c r="R19" s="31">
        <f t="shared" si="12"/>
        <v>1.0587392235158337E-2</v>
      </c>
      <c r="AA19" s="10">
        <f t="shared" si="4"/>
        <v>17</v>
      </c>
      <c r="AB19" s="10" t="s">
        <v>84</v>
      </c>
      <c r="AC19" s="10" t="s">
        <v>8</v>
      </c>
      <c r="AD19" s="10" t="str">
        <f>IF(AB19=Charts!$F$20,hiddenPage!AA19,"")</f>
        <v/>
      </c>
      <c r="AE19" s="10" t="e">
        <f>SMALL($AD$3:$AD$35,ROWS($AD$3:AD19))</f>
        <v>#NUM!</v>
      </c>
    </row>
    <row r="20" spans="1:32" x14ac:dyDescent="0.25">
      <c r="A20" s="12" t="str">
        <f t="shared" si="8"/>
        <v>Cash and cash equivalents</v>
      </c>
      <c r="B20" s="26">
        <f>SUMIF('1.FinancialPosition'!$B:$B,$A20,'1.FinancialPosition'!C:C)</f>
        <v>17596892.999122001</v>
      </c>
      <c r="C20" s="26">
        <f>SUMIF('1.FinancialPosition'!$B:$B,$A20,'1.FinancialPosition'!D:D)</f>
        <v>73869061</v>
      </c>
      <c r="D20" s="26">
        <f>SUMIF('1.FinancialPosition'!$B:$B,$A20,'1.FinancialPosition'!E:E)</f>
        <v>33716158</v>
      </c>
      <c r="E20" s="26">
        <f>SUMIF('1.FinancialPosition'!$B:$B,$A20,'1.FinancialPosition'!F:F)</f>
        <v>14353306</v>
      </c>
      <c r="F20" s="26">
        <f>SUMIF('1.FinancialPosition'!$B:$B,$A20,'1.FinancialPosition'!G:G)</f>
        <v>23633637</v>
      </c>
      <c r="G20" s="26"/>
      <c r="H20" s="26"/>
      <c r="I20" s="28">
        <f t="shared" si="9"/>
        <v>23633637</v>
      </c>
      <c r="J20" s="29">
        <f>RANK(I20,$I$16:$I$22,0)+COUNTIF($I20:I$22,I20)-1</f>
        <v>3</v>
      </c>
      <c r="K20" s="19"/>
      <c r="L20" s="18">
        <v>5</v>
      </c>
      <c r="M20" s="19"/>
      <c r="N20" s="4" t="str">
        <f t="shared" si="10"/>
        <v>Other current non-financial assets</v>
      </c>
      <c r="O20" s="4"/>
      <c r="P20" s="4"/>
      <c r="Q20" s="30">
        <f t="shared" si="11"/>
        <v>626762</v>
      </c>
      <c r="R20" s="31">
        <f t="shared" si="12"/>
        <v>5.1668379391531342E-3</v>
      </c>
      <c r="AA20" s="10">
        <f t="shared" si="4"/>
        <v>18</v>
      </c>
      <c r="AB20" s="10" t="s">
        <v>82</v>
      </c>
      <c r="AC20" s="10" t="s">
        <v>151</v>
      </c>
      <c r="AD20" s="10" t="str">
        <f>IF(AB20=Charts!$F$20,hiddenPage!AA20,"")</f>
        <v/>
      </c>
      <c r="AE20" s="10" t="e">
        <f>SMALL($AD$3:$AD$35,ROWS($AD$3:AD20))</f>
        <v>#NUM!</v>
      </c>
    </row>
    <row r="21" spans="1:32" x14ac:dyDescent="0.25">
      <c r="A21" s="12" t="str">
        <f t="shared" si="8"/>
        <v>Non-current assets or disposal groups classified as held for sale or as held for distribution to owners</v>
      </c>
      <c r="B21" s="26">
        <f>SUMIF('1.FinancialPosition'!$B:$B,$A21,'1.FinancialPosition'!C:C)</f>
        <v>3760155</v>
      </c>
      <c r="C21" s="26">
        <f>SUMIF('1.FinancialPosition'!$B:$B,$A21,'1.FinancialPosition'!D:D)</f>
        <v>3760155</v>
      </c>
      <c r="D21" s="26">
        <f>SUMIF('1.FinancialPosition'!$B:$B,$A21,'1.FinancialPosition'!E:E)</f>
        <v>0</v>
      </c>
      <c r="E21" s="26">
        <f>SUMIF('1.FinancialPosition'!$B:$B,$A21,'1.FinancialPosition'!F:F)</f>
        <v>0</v>
      </c>
      <c r="F21" s="26">
        <f>SUMIF('1.FinancialPosition'!$B:$B,$A21,'1.FinancialPosition'!G:G)</f>
        <v>0</v>
      </c>
      <c r="G21" s="26"/>
      <c r="H21" s="26"/>
      <c r="I21" s="28">
        <f t="shared" si="9"/>
        <v>0</v>
      </c>
      <c r="J21" s="29">
        <f>RANK(I21,$I$16:$I$22,0)+COUNTIF($I21:I$22,I21)-1</f>
        <v>7</v>
      </c>
      <c r="K21" s="19"/>
      <c r="L21" s="18">
        <v>6</v>
      </c>
      <c r="M21" s="19"/>
      <c r="N21" s="4" t="str">
        <f t="shared" si="10"/>
        <v/>
      </c>
      <c r="O21" s="4"/>
      <c r="P21" s="4"/>
      <c r="Q21" s="30">
        <f t="shared" si="11"/>
        <v>0</v>
      </c>
      <c r="R21" s="31">
        <f t="shared" si="12"/>
        <v>0</v>
      </c>
      <c r="AA21" s="10">
        <f t="shared" si="4"/>
        <v>19</v>
      </c>
      <c r="AB21" s="10" t="s">
        <v>82</v>
      </c>
      <c r="AC21" s="10" t="s">
        <v>10</v>
      </c>
      <c r="AD21" s="10" t="str">
        <f>IF(AB21=Charts!$F$20,hiddenPage!AA21,"")</f>
        <v/>
      </c>
      <c r="AE21" s="10" t="e">
        <f>SMALL($AD$3:$AD$35,ROWS($AD$3:AD21))</f>
        <v>#NUM!</v>
      </c>
    </row>
    <row r="22" spans="1:32" x14ac:dyDescent="0.25">
      <c r="A22" s="12" t="str">
        <f t="shared" si="8"/>
        <v/>
      </c>
      <c r="B22" s="26">
        <f>SUMIF('1.FinancialPosition'!$B:$B,$A22,'1.FinancialPosition'!C:C)</f>
        <v>0.40521818399429321</v>
      </c>
      <c r="C22" s="26">
        <f>SUMIF('1.FinancialPosition'!$B:$B,$A22,'1.FinancialPosition'!D:D)</f>
        <v>0</v>
      </c>
      <c r="D22" s="26">
        <f>SUMIF('1.FinancialPosition'!$B:$B,$A22,'1.FinancialPosition'!E:E)</f>
        <v>0</v>
      </c>
      <c r="E22" s="26">
        <f>SUMIF('1.FinancialPosition'!$B:$B,$A22,'1.FinancialPosition'!F:F)</f>
        <v>0</v>
      </c>
      <c r="F22" s="26">
        <f>SUMIF('1.FinancialPosition'!$B:$B,$A22,'1.FinancialPosition'!G:G)</f>
        <v>0</v>
      </c>
      <c r="G22" s="26"/>
      <c r="H22" s="26"/>
      <c r="I22" s="28">
        <f t="shared" si="9"/>
        <v>0</v>
      </c>
      <c r="J22" s="29">
        <f>RANK(I22,$I$16:$I$22,0)+COUNTIF($I22:I$22,I22)-1</f>
        <v>6</v>
      </c>
      <c r="K22" s="19"/>
      <c r="L22" s="18">
        <v>7</v>
      </c>
      <c r="M22" s="19"/>
      <c r="N22" s="4" t="str">
        <f t="shared" si="10"/>
        <v>Non-current assets or disposal groups classified as held for sale or as held for distribution to owners</v>
      </c>
      <c r="O22" s="4"/>
      <c r="P22" s="4"/>
      <c r="Q22" s="30">
        <f t="shared" si="11"/>
        <v>0</v>
      </c>
      <c r="R22" s="31">
        <f t="shared" si="12"/>
        <v>0</v>
      </c>
      <c r="AA22" s="10">
        <f t="shared" si="4"/>
        <v>20</v>
      </c>
      <c r="AB22" s="10" t="s">
        <v>82</v>
      </c>
      <c r="AC22" s="10" t="s">
        <v>152</v>
      </c>
      <c r="AD22" s="10" t="str">
        <f>IF(AB22=Charts!$F$20,hiddenPage!AA22,"")</f>
        <v/>
      </c>
      <c r="AE22" s="10" t="e">
        <f>SMALL($AD$3:$AD$35,ROWS($AD$3:AD22))</f>
        <v>#NUM!</v>
      </c>
    </row>
    <row r="23" spans="1:32" x14ac:dyDescent="0.25">
      <c r="N23" s="18" t="str">
        <f>"Total  : "&amp;"lei "&amp;TEXT(Q23,"#,##0;[Red]-#,##0")</f>
        <v>Total  : lei 121,304,753</v>
      </c>
      <c r="Q23" s="21">
        <f>SUM(Q16:Q22)</f>
        <v>121304753</v>
      </c>
      <c r="AA23" s="10">
        <f t="shared" si="4"/>
        <v>21</v>
      </c>
      <c r="AB23" s="10" t="s">
        <v>82</v>
      </c>
      <c r="AC23" s="10" t="s">
        <v>153</v>
      </c>
      <c r="AD23" s="10" t="str">
        <f>IF(AB23=Charts!$F$20,hiddenPage!AA23,"")</f>
        <v/>
      </c>
      <c r="AE23" s="10" t="e">
        <f>SMALL($AD$3:$AD$35,ROWS($AD$3:AD23))</f>
        <v>#NUM!</v>
      </c>
    </row>
    <row r="24" spans="1:32" x14ac:dyDescent="0.25">
      <c r="B24" s="14">
        <f>B15</f>
        <v>2021</v>
      </c>
      <c r="C24" s="14">
        <f t="shared" ref="C24:F24" si="13">C15</f>
        <v>2022</v>
      </c>
      <c r="D24" s="14">
        <f t="shared" si="13"/>
        <v>2023</v>
      </c>
      <c r="E24" s="14">
        <f t="shared" si="13"/>
        <v>2024</v>
      </c>
      <c r="F24" s="14">
        <f t="shared" si="13"/>
        <v>2025</v>
      </c>
      <c r="G24" s="14"/>
      <c r="H24" s="14"/>
      <c r="I24" s="22" t="s">
        <v>23</v>
      </c>
      <c r="J24" s="12"/>
      <c r="AA24" s="10">
        <f t="shared" si="4"/>
        <v>22</v>
      </c>
      <c r="AB24" s="10" t="s">
        <v>83</v>
      </c>
      <c r="AC24" s="10" t="s">
        <v>154</v>
      </c>
      <c r="AD24" s="10" t="str">
        <f>IF(AB24=Charts!$F$20,hiddenPage!AA24,"")</f>
        <v/>
      </c>
      <c r="AE24" s="10" t="e">
        <f>SMALL($AD$3:$AD$35,ROWS($AD$3:AD24))</f>
        <v>#NUM!</v>
      </c>
      <c r="AF24" s="10" t="str">
        <f t="shared" ref="AF24:AF31" si="14">IF(ISERROR(VLOOKUP(AE24,$AA$3:$AC$40,3,0)),"",VLOOKUP(AE24,$AA$3:$AC$40,3,0))</f>
        <v/>
      </c>
    </row>
    <row r="25" spans="1:32" x14ac:dyDescent="0.25">
      <c r="A25" s="13" t="str">
        <f>AF3</f>
        <v>Current inventories</v>
      </c>
      <c r="B25" s="15">
        <f>SUMIF('1.FinancialPosition'!$B:$B,$A25,'1.FinancialPosition'!C:C)</f>
        <v>54803658.57558158</v>
      </c>
      <c r="C25" s="15">
        <f>SUMIF('1.FinancialPosition'!$B:$B,$A25,'1.FinancialPosition'!D:D)</f>
        <v>65899751</v>
      </c>
      <c r="D25" s="15">
        <f>SUMIF('1.FinancialPosition'!$B:$B,$A25,'1.FinancialPosition'!E:E)</f>
        <v>59716567</v>
      </c>
      <c r="E25" s="15">
        <f>SUMIF('1.FinancialPosition'!$B:$B,$A25,'1.FinancialPosition'!F:F)</f>
        <v>64110951</v>
      </c>
      <c r="F25" s="15">
        <f>SUMIF('1.FinancialPosition'!$B:$B,$A25,'1.FinancialPosition'!G:G)</f>
        <v>50826686</v>
      </c>
      <c r="G25" s="15"/>
      <c r="H25" s="15"/>
      <c r="I25" s="24">
        <f>SUM(B25:H25)</f>
        <v>295357613.57558155</v>
      </c>
      <c r="J25" s="12">
        <f>IF(I25&gt;1,1,0)</f>
        <v>1</v>
      </c>
      <c r="AA25" s="10">
        <f t="shared" si="4"/>
        <v>23</v>
      </c>
      <c r="AB25" s="10" t="s">
        <v>83</v>
      </c>
      <c r="AC25" s="10" t="s">
        <v>155</v>
      </c>
      <c r="AD25" s="10" t="str">
        <f>IF(AB25=Charts!$F$20,hiddenPage!AA25,"")</f>
        <v/>
      </c>
      <c r="AE25" s="10" t="e">
        <f>SMALL($AD$3:$AD$35,ROWS($AD$3:AD25))</f>
        <v>#NUM!</v>
      </c>
      <c r="AF25" s="10" t="str">
        <f t="shared" si="14"/>
        <v/>
      </c>
    </row>
    <row r="26" spans="1:32" x14ac:dyDescent="0.25">
      <c r="A26" s="13" t="str">
        <f t="shared" ref="A26:A31" si="15">AF4</f>
        <v>Trade and other current receivables</v>
      </c>
      <c r="B26" s="15">
        <f>SUMIF('1.FinancialPosition'!$B:$B,$A26,'1.FinancialPosition'!C:C)</f>
        <v>53054233.585505947</v>
      </c>
      <c r="C26" s="15">
        <f>SUMIF('1.FinancialPosition'!$B:$B,$A26,'1.FinancialPosition'!D:D)</f>
        <v>60979526</v>
      </c>
      <c r="D26" s="15">
        <f>SUMIF('1.FinancialPosition'!$B:$B,$A26,'1.FinancialPosition'!E:E)</f>
        <v>60437183</v>
      </c>
      <c r="E26" s="15">
        <f>SUMIF('1.FinancialPosition'!$B:$B,$A26,'1.FinancialPosition'!F:F)</f>
        <v>54097088</v>
      </c>
      <c r="F26" s="15">
        <f>SUMIF('1.FinancialPosition'!$B:$B,$A26,'1.FinancialPosition'!G:G)</f>
        <v>44933367</v>
      </c>
      <c r="G26" s="15"/>
      <c r="H26" s="15"/>
      <c r="I26" s="24">
        <f t="shared" ref="I26:I30" si="16">SUM(B26:H26)</f>
        <v>273501397.58550596</v>
      </c>
      <c r="J26" s="12">
        <f t="shared" ref="J26:J31" si="17">IF(I26&gt;1,1,0)</f>
        <v>1</v>
      </c>
      <c r="AA26" s="10">
        <f t="shared" si="4"/>
        <v>24</v>
      </c>
      <c r="AB26" s="10" t="s">
        <v>83</v>
      </c>
      <c r="AC26" s="10" t="s">
        <v>156</v>
      </c>
      <c r="AD26" s="10" t="str">
        <f>IF(AB26=Charts!$F$20,hiddenPage!AA26,"")</f>
        <v/>
      </c>
      <c r="AE26" s="10" t="e">
        <f>SMALL($AD$3:$AD$35,ROWS($AD$3:AD26))</f>
        <v>#NUM!</v>
      </c>
      <c r="AF26" s="10" t="str">
        <f t="shared" si="14"/>
        <v/>
      </c>
    </row>
    <row r="27" spans="1:32" x14ac:dyDescent="0.25">
      <c r="A27" s="13" t="str">
        <f t="shared" si="15"/>
        <v>Other current financial assets</v>
      </c>
      <c r="B27" s="15">
        <f>SUMIF('1.FinancialPosition'!$B:$B,$A27,'1.FinancialPosition'!C:C)</f>
        <v>617901.78</v>
      </c>
      <c r="C27" s="15">
        <f>SUMIF('1.FinancialPosition'!$B:$B,$A27,'1.FinancialPosition'!D:D)</f>
        <v>263414</v>
      </c>
      <c r="D27" s="15">
        <f>SUMIF('1.FinancialPosition'!$B:$B,$A27,'1.FinancialPosition'!E:E)</f>
        <v>2833298</v>
      </c>
      <c r="E27" s="15">
        <f>SUMIF('1.FinancialPosition'!$B:$B,$A27,'1.FinancialPosition'!F:F)</f>
        <v>2621744</v>
      </c>
      <c r="F27" s="15">
        <f>SUMIF('1.FinancialPosition'!$B:$B,$A27,'1.FinancialPosition'!G:G)</f>
        <v>1284301</v>
      </c>
      <c r="G27" s="15"/>
      <c r="H27" s="15"/>
      <c r="I27" s="24">
        <f t="shared" si="16"/>
        <v>7620658.7800000003</v>
      </c>
      <c r="J27" s="12">
        <f t="shared" si="17"/>
        <v>1</v>
      </c>
      <c r="AA27" s="10">
        <f t="shared" si="4"/>
        <v>25</v>
      </c>
      <c r="AB27" s="10" t="s">
        <v>82</v>
      </c>
      <c r="AC27" s="10" t="s">
        <v>313</v>
      </c>
      <c r="AD27" s="10" t="str">
        <f>IF(AB27=Charts!$F$20,hiddenPage!AA27,"")</f>
        <v/>
      </c>
      <c r="AE27" s="10" t="e">
        <f>SMALL($AD$3:$AD$35,ROWS($AD$3:AD27))</f>
        <v>#NUM!</v>
      </c>
      <c r="AF27" s="10" t="str">
        <f t="shared" si="14"/>
        <v/>
      </c>
    </row>
    <row r="28" spans="1:32" x14ac:dyDescent="0.25">
      <c r="A28" s="13" t="str">
        <f t="shared" si="15"/>
        <v>Other current non-financial assets</v>
      </c>
      <c r="B28" s="15">
        <f>SUMIF('1.FinancialPosition'!$B:$B,$A28,'1.FinancialPosition'!C:C)</f>
        <v>4621551.3065499999</v>
      </c>
      <c r="C28" s="15">
        <f>SUMIF('1.FinancialPosition'!$B:$B,$A28,'1.FinancialPosition'!D:D)</f>
        <v>4796687</v>
      </c>
      <c r="D28" s="15">
        <f>SUMIF('1.FinancialPosition'!$B:$B,$A28,'1.FinancialPosition'!E:E)</f>
        <v>1093312</v>
      </c>
      <c r="E28" s="15">
        <f>SUMIF('1.FinancialPosition'!$B:$B,$A28,'1.FinancialPosition'!F:F)</f>
        <v>1156150</v>
      </c>
      <c r="F28" s="15">
        <f>SUMIF('1.FinancialPosition'!$B:$B,$A28,'1.FinancialPosition'!G:G)</f>
        <v>626762</v>
      </c>
      <c r="G28" s="15"/>
      <c r="H28" s="15"/>
      <c r="I28" s="24">
        <f t="shared" si="16"/>
        <v>12294462.30655</v>
      </c>
      <c r="J28" s="12">
        <f t="shared" si="17"/>
        <v>1</v>
      </c>
      <c r="AA28" s="10">
        <f t="shared" si="4"/>
        <v>26</v>
      </c>
      <c r="AB28" s="10" t="s">
        <v>83</v>
      </c>
      <c r="AC28" s="10" t="s">
        <v>314</v>
      </c>
      <c r="AD28" s="10" t="str">
        <f>IF(AB28=Charts!$F$20,hiddenPage!AA28,"")</f>
        <v/>
      </c>
      <c r="AE28" s="10" t="e">
        <f>SMALL($AD$3:$AD$35,ROWS($AD$3:AD28))</f>
        <v>#NUM!</v>
      </c>
      <c r="AF28" s="10" t="str">
        <f t="shared" si="14"/>
        <v/>
      </c>
    </row>
    <row r="29" spans="1:32" x14ac:dyDescent="0.25">
      <c r="A29" s="13" t="str">
        <f t="shared" si="15"/>
        <v>Cash and cash equivalents</v>
      </c>
      <c r="B29" s="15">
        <f>SUMIF('1.FinancialPosition'!$B:$B,$A29,'1.FinancialPosition'!C:C)</f>
        <v>17596892.999122001</v>
      </c>
      <c r="C29" s="15">
        <f>SUMIF('1.FinancialPosition'!$B:$B,$A29,'1.FinancialPosition'!D:D)</f>
        <v>73869061</v>
      </c>
      <c r="D29" s="15">
        <f>SUMIF('1.FinancialPosition'!$B:$B,$A29,'1.FinancialPosition'!E:E)</f>
        <v>33716158</v>
      </c>
      <c r="E29" s="15">
        <f>SUMIF('1.FinancialPosition'!$B:$B,$A29,'1.FinancialPosition'!F:F)</f>
        <v>14353306</v>
      </c>
      <c r="F29" s="15">
        <f>SUMIF('1.FinancialPosition'!$B:$B,$A29,'1.FinancialPosition'!G:G)</f>
        <v>23633637</v>
      </c>
      <c r="G29" s="15"/>
      <c r="H29" s="15"/>
      <c r="I29" s="24">
        <f t="shared" si="16"/>
        <v>163169054.99912199</v>
      </c>
      <c r="J29" s="12">
        <f t="shared" si="17"/>
        <v>1</v>
      </c>
      <c r="AA29" s="10">
        <f t="shared" si="4"/>
        <v>27</v>
      </c>
      <c r="AD29" s="10" t="str">
        <f>IF(AB29=Charts!$F$20,hiddenPage!AA29,"")</f>
        <v/>
      </c>
      <c r="AE29" s="10" t="e">
        <f>SMALL($AD$3:$AD$35,ROWS($AD$3:AD29))</f>
        <v>#NUM!</v>
      </c>
      <c r="AF29" s="10" t="str">
        <f t="shared" si="14"/>
        <v/>
      </c>
    </row>
    <row r="30" spans="1:32" x14ac:dyDescent="0.25">
      <c r="A30" s="13" t="str">
        <f t="shared" si="15"/>
        <v>Non-current assets or disposal groups classified as held for sale or as held for distribution to owners</v>
      </c>
      <c r="B30" s="15">
        <f>SUMIF('1.FinancialPosition'!$B:$B,$A30,'1.FinancialPosition'!C:C)</f>
        <v>3760155</v>
      </c>
      <c r="C30" s="15">
        <f>SUMIF('1.FinancialPosition'!$B:$B,$A30,'1.FinancialPosition'!D:D)</f>
        <v>3760155</v>
      </c>
      <c r="D30" s="15">
        <f>SUMIF('1.FinancialPosition'!$B:$B,$A30,'1.FinancialPosition'!E:E)</f>
        <v>0</v>
      </c>
      <c r="E30" s="15">
        <f>SUMIF('1.FinancialPosition'!$B:$B,$A30,'1.FinancialPosition'!F:F)</f>
        <v>0</v>
      </c>
      <c r="F30" s="15">
        <f>SUMIF('1.FinancialPosition'!$B:$B,$A30,'1.FinancialPosition'!G:G)</f>
        <v>0</v>
      </c>
      <c r="G30" s="15"/>
      <c r="H30" s="15"/>
      <c r="I30" s="24">
        <f t="shared" si="16"/>
        <v>7520310</v>
      </c>
      <c r="J30" s="12">
        <f t="shared" si="17"/>
        <v>1</v>
      </c>
      <c r="AA30" s="10">
        <f t="shared" si="4"/>
        <v>28</v>
      </c>
      <c r="AD30" s="10" t="str">
        <f>IF(AB30=Charts!$F$20,hiddenPage!AA30,"")</f>
        <v/>
      </c>
      <c r="AE30" s="10" t="e">
        <f>SMALL($AD$3:$AD$35,ROWS($AD$3:AD30))</f>
        <v>#NUM!</v>
      </c>
      <c r="AF30" s="10" t="str">
        <f t="shared" si="14"/>
        <v/>
      </c>
    </row>
    <row r="31" spans="1:32" x14ac:dyDescent="0.25">
      <c r="A31" s="13" t="str">
        <f t="shared" si="15"/>
        <v/>
      </c>
      <c r="B31" s="15">
        <f>SUMIF('1.FinancialPosition'!$B:$B,$A31,'1.FinancialPosition'!C:C)</f>
        <v>0.40521818399429321</v>
      </c>
      <c r="C31" s="15">
        <f>SUMIF('1.FinancialPosition'!$B:$B,$A31,'1.FinancialPosition'!D:D)</f>
        <v>0</v>
      </c>
      <c r="D31" s="15">
        <f>SUMIF('1.FinancialPosition'!$B:$B,$A31,'1.FinancialPosition'!E:E)</f>
        <v>0</v>
      </c>
      <c r="E31" s="15">
        <f>SUMIF('1.FinancialPosition'!$B:$B,$A31,'1.FinancialPosition'!F:F)</f>
        <v>0</v>
      </c>
      <c r="F31" s="15">
        <f>SUMIF('1.FinancialPosition'!$B:$B,$A31,'1.FinancialPosition'!G:G)</f>
        <v>0</v>
      </c>
      <c r="G31" s="15"/>
      <c r="H31" s="15"/>
      <c r="I31" s="24">
        <f>SUM(B31:H31)</f>
        <v>0.40521818399429321</v>
      </c>
      <c r="J31" s="12">
        <f t="shared" si="17"/>
        <v>0</v>
      </c>
      <c r="AA31" s="10">
        <f t="shared" si="4"/>
        <v>29</v>
      </c>
      <c r="AD31" s="10" t="str">
        <f>IF(AB31=Charts!$F$20,hiddenPage!AA31,"")</f>
        <v/>
      </c>
      <c r="AE31" s="10" t="e">
        <f>SMALL($AD$3:$AD$35,ROWS($AD$3:AD31))</f>
        <v>#NUM!</v>
      </c>
      <c r="AF31" s="10" t="str">
        <f t="shared" si="14"/>
        <v/>
      </c>
    </row>
    <row r="32" spans="1:32" x14ac:dyDescent="0.25">
      <c r="A32" s="10" t="str">
        <f>Charts!S20</f>
        <v>Total assets</v>
      </c>
      <c r="D32" s="10" t="str">
        <f>"Evolution of "&amp;A32&amp;" in the period 2021-2025"</f>
        <v>Evolution of Total assets in the period 2021-2025</v>
      </c>
      <c r="AA32" s="10">
        <f t="shared" si="4"/>
        <v>30</v>
      </c>
      <c r="AD32" s="10" t="str">
        <f>IF(AB32=Charts!$F$20,hiddenPage!AA32,"")</f>
        <v/>
      </c>
      <c r="AE32" s="10" t="e">
        <f>SMALL($AD$3:$AD$35,ROWS($AD$3:AD32))</f>
        <v>#NUM!</v>
      </c>
    </row>
    <row r="33" spans="1:31" x14ac:dyDescent="0.25">
      <c r="A33" s="10">
        <v>2021</v>
      </c>
      <c r="B33" s="15">
        <f>SUMIF('1.FinancialPosition'!$B:$B,hiddenPage!$A$32,'1.FinancialPosition'!C:C)</f>
        <v>301810410.94370812</v>
      </c>
      <c r="C33" s="14"/>
      <c r="D33" s="16"/>
      <c r="E33" s="14"/>
      <c r="F33" s="14"/>
      <c r="G33" s="14"/>
      <c r="AA33" s="10">
        <f t="shared" si="4"/>
        <v>31</v>
      </c>
      <c r="AD33" s="10" t="str">
        <f>IF(AB33=Charts!$F$20,hiddenPage!AA33,"")</f>
        <v/>
      </c>
      <c r="AE33" s="10" t="e">
        <f>SMALL($AD$3:$AD$35,ROWS($AD$3:AD33))</f>
        <v>#NUM!</v>
      </c>
    </row>
    <row r="34" spans="1:31" x14ac:dyDescent="0.25">
      <c r="A34" s="10">
        <f>A33+1</f>
        <v>2022</v>
      </c>
      <c r="B34" s="15">
        <f>SUMIF('1.FinancialPosition'!$B:$B,hiddenPage!$A$32,'1.FinancialPosition'!D:D)</f>
        <v>344111530</v>
      </c>
      <c r="C34" s="15"/>
      <c r="D34" s="16"/>
      <c r="E34" s="15"/>
      <c r="F34" s="15"/>
      <c r="G34" s="15"/>
      <c r="AA34" s="10">
        <f t="shared" si="4"/>
        <v>32</v>
      </c>
      <c r="AD34" s="10" t="str">
        <f>IF(AB34=Charts!$F$20,hiddenPage!AA34,"")</f>
        <v/>
      </c>
      <c r="AE34" s="10" t="e">
        <f>SMALL($AD$3:$AD$35,ROWS($AD$3:AD34))</f>
        <v>#NUM!</v>
      </c>
    </row>
    <row r="35" spans="1:31" x14ac:dyDescent="0.25">
      <c r="A35" s="10">
        <f t="shared" ref="A35:A37" si="18">A34+1</f>
        <v>2023</v>
      </c>
      <c r="B35" s="15">
        <f>SUMIF('1.FinancialPosition'!$B:$B,hiddenPage!$A$32,'1.FinancialPosition'!E:E)</f>
        <v>292570833</v>
      </c>
      <c r="C35" s="15"/>
      <c r="D35" s="16"/>
      <c r="E35" s="15"/>
      <c r="F35" s="15"/>
      <c r="G35" s="15"/>
      <c r="AA35" s="10">
        <f t="shared" si="4"/>
        <v>33</v>
      </c>
      <c r="AD35" s="10" t="str">
        <f>IF(AB35=Charts!$F$20,hiddenPage!AA35,"")</f>
        <v/>
      </c>
      <c r="AE35" s="10" t="e">
        <f>SMALL($AD$3:$AD$35,ROWS($AD$3:AD35))</f>
        <v>#NUM!</v>
      </c>
    </row>
    <row r="36" spans="1:31" x14ac:dyDescent="0.25">
      <c r="A36" s="10">
        <f t="shared" si="18"/>
        <v>2024</v>
      </c>
      <c r="B36" s="15">
        <f>SUMIF('1.FinancialPosition'!$B:$B,hiddenPage!$A$32,'1.FinancialPosition'!F:F)</f>
        <v>275343166</v>
      </c>
      <c r="C36" s="15"/>
      <c r="D36" s="16"/>
      <c r="E36" s="15"/>
      <c r="F36" s="15"/>
      <c r="G36" s="15"/>
      <c r="AA36" s="10">
        <f t="shared" si="4"/>
        <v>34</v>
      </c>
      <c r="AD36" s="10" t="str">
        <f>IF(AB36=Charts!$F$20,hiddenPage!AA36,"")</f>
        <v/>
      </c>
      <c r="AE36" s="10" t="e">
        <f>SMALL($AD$3:$AD$35,ROWS($AD$3:AD36))</f>
        <v>#NUM!</v>
      </c>
    </row>
    <row r="37" spans="1:31" x14ac:dyDescent="0.25">
      <c r="A37" s="10">
        <f t="shared" si="18"/>
        <v>2025</v>
      </c>
      <c r="B37" s="15">
        <f>SUMIF('1.FinancialPosition'!$B:$B,hiddenPage!$A$32,'1.FinancialPosition'!G:G)</f>
        <v>259395988</v>
      </c>
      <c r="C37" s="15"/>
      <c r="D37" s="16"/>
      <c r="E37" s="15"/>
      <c r="F37" s="15"/>
      <c r="G37" s="15"/>
    </row>
    <row r="38" spans="1:31" x14ac:dyDescent="0.25">
      <c r="B38" s="15"/>
      <c r="C38" s="15"/>
      <c r="D38" s="16"/>
      <c r="E38" s="15"/>
      <c r="F38" s="15"/>
      <c r="G38" s="15"/>
    </row>
    <row r="39" spans="1:31" x14ac:dyDescent="0.25">
      <c r="B39" s="15"/>
      <c r="C39" s="15"/>
      <c r="D39" s="16"/>
      <c r="E39" s="15"/>
      <c r="F39" s="15"/>
      <c r="G39" s="15"/>
    </row>
    <row r="41" spans="1:31" x14ac:dyDescent="0.25">
      <c r="B41" s="19" t="s">
        <v>87</v>
      </c>
      <c r="C41" s="19" t="s">
        <v>88</v>
      </c>
      <c r="D41" s="19" t="s">
        <v>89</v>
      </c>
      <c r="E41" s="19" t="s">
        <v>90</v>
      </c>
      <c r="F41" s="19" t="s">
        <v>86</v>
      </c>
      <c r="G41" s="19" t="s">
        <v>91</v>
      </c>
    </row>
    <row r="42" spans="1:31" x14ac:dyDescent="0.25">
      <c r="A42" s="20"/>
      <c r="F42" s="21">
        <f>B33</f>
        <v>301810410.94370812</v>
      </c>
      <c r="G42" s="21">
        <f>F42</f>
        <v>301810410.94370812</v>
      </c>
    </row>
    <row r="43" spans="1:31" x14ac:dyDescent="0.25">
      <c r="A43" s="10">
        <v>2022</v>
      </c>
      <c r="B43" s="17">
        <f>SUM(B42,E42:F42)-D43</f>
        <v>301810410.94370812</v>
      </c>
      <c r="C43" s="17"/>
      <c r="D43" s="17">
        <f>IF(G43&lt;0,-G43,0)</f>
        <v>0</v>
      </c>
      <c r="E43" s="17">
        <f>IF(G43&gt;0,G43,0)</f>
        <v>42301119.056291878</v>
      </c>
      <c r="G43" s="21">
        <f>B34-B33</f>
        <v>42301119.056291878</v>
      </c>
    </row>
    <row r="44" spans="1:31" x14ac:dyDescent="0.25">
      <c r="A44" s="10">
        <f>A43+1</f>
        <v>2023</v>
      </c>
      <c r="B44" s="17">
        <f t="shared" ref="B44:B46" si="19">SUM(B43,E43:F43)-D44</f>
        <v>292570833</v>
      </c>
      <c r="C44" s="17"/>
      <c r="D44" s="17">
        <f t="shared" ref="D44:D46" si="20">IF(G44&lt;0,-G44,0)</f>
        <v>51540697</v>
      </c>
      <c r="E44" s="17">
        <f t="shared" ref="E44:E46" si="21">IF(G44&gt;0,G44,0)</f>
        <v>0</v>
      </c>
      <c r="G44" s="21">
        <f t="shared" ref="G44:G46" si="22">B35-B34</f>
        <v>-51540697</v>
      </c>
    </row>
    <row r="45" spans="1:31" x14ac:dyDescent="0.25">
      <c r="A45" s="10">
        <f t="shared" ref="A45:A46" si="23">A44+1</f>
        <v>2024</v>
      </c>
      <c r="B45" s="17">
        <f t="shared" si="19"/>
        <v>275343166</v>
      </c>
      <c r="C45" s="17"/>
      <c r="D45" s="17">
        <f t="shared" si="20"/>
        <v>17227667</v>
      </c>
      <c r="E45" s="17">
        <f t="shared" si="21"/>
        <v>0</v>
      </c>
      <c r="G45" s="21">
        <f t="shared" si="22"/>
        <v>-17227667</v>
      </c>
    </row>
    <row r="46" spans="1:31" x14ac:dyDescent="0.25">
      <c r="A46" s="10">
        <f t="shared" si="23"/>
        <v>2025</v>
      </c>
      <c r="B46" s="17">
        <f t="shared" si="19"/>
        <v>259395988</v>
      </c>
      <c r="C46" s="17"/>
      <c r="D46" s="17">
        <f t="shared" si="20"/>
        <v>15947178</v>
      </c>
      <c r="E46" s="17">
        <f t="shared" si="21"/>
        <v>0</v>
      </c>
      <c r="G46" s="21">
        <f t="shared" si="22"/>
        <v>-15947178</v>
      </c>
    </row>
    <row r="47" spans="1:31" x14ac:dyDescent="0.25">
      <c r="C47" s="17">
        <f>SUM(B46,E46:F46)-D47</f>
        <v>259395988</v>
      </c>
    </row>
    <row r="50" spans="1:18" x14ac:dyDescent="0.25">
      <c r="B50" s="10">
        <f>IF('2.Comprehensive income'!$T$32=B51,1,0)</f>
        <v>0</v>
      </c>
      <c r="C50" s="10">
        <f>IF('2.Comprehensive income'!$T$32=C51,1,0)</f>
        <v>0</v>
      </c>
      <c r="D50" s="10">
        <f>IF('2.Comprehensive income'!$T$32=D51,1,0)</f>
        <v>0</v>
      </c>
      <c r="E50" s="10">
        <f>IF('2.Comprehensive income'!$T$32=E51,1,0)</f>
        <v>0</v>
      </c>
      <c r="F50" s="10">
        <f>IF('2.Comprehensive income'!$T$32=F51,1,0)</f>
        <v>0</v>
      </c>
      <c r="G50" s="10">
        <f>IF('2.Comprehensive income'!$T$32=G51,1,0)</f>
        <v>0</v>
      </c>
      <c r="H50" s="10">
        <f>IF('2.Comprehensive income'!$T$32=H51,1,0)</f>
        <v>1</v>
      </c>
    </row>
    <row r="51" spans="1:18" x14ac:dyDescent="0.25">
      <c r="A51" s="19" t="s">
        <v>92</v>
      </c>
      <c r="B51" s="14"/>
      <c r="C51" s="14"/>
      <c r="D51" s="14">
        <v>2021</v>
      </c>
      <c r="E51" s="14">
        <f t="shared" ref="E51:H51" si="24">D51+1</f>
        <v>2022</v>
      </c>
      <c r="F51" s="14">
        <f t="shared" si="24"/>
        <v>2023</v>
      </c>
      <c r="G51" s="14">
        <f t="shared" si="24"/>
        <v>2024</v>
      </c>
      <c r="H51" s="14">
        <f t="shared" si="24"/>
        <v>2025</v>
      </c>
      <c r="I51" s="19" t="s">
        <v>93</v>
      </c>
      <c r="J51" s="19" t="s">
        <v>94</v>
      </c>
      <c r="L51" s="18" t="s">
        <v>95</v>
      </c>
      <c r="N51" s="18" t="s">
        <v>96</v>
      </c>
      <c r="Q51" s="19" t="s">
        <v>97</v>
      </c>
      <c r="R51" s="19" t="s">
        <v>98</v>
      </c>
    </row>
    <row r="52" spans="1:18" x14ac:dyDescent="0.25">
      <c r="A52" s="4" t="s">
        <v>103</v>
      </c>
      <c r="B52" s="3"/>
      <c r="C52" s="3"/>
      <c r="D52" s="3">
        <v>181146471.98999998</v>
      </c>
      <c r="E52" s="3">
        <v>264737647</v>
      </c>
      <c r="F52" s="6">
        <v>262801054</v>
      </c>
      <c r="G52" s="6">
        <v>214230854</v>
      </c>
      <c r="H52" s="6">
        <v>225633834</v>
      </c>
      <c r="I52" s="23">
        <f>SUMPRODUCT($D$50:$H$50,D52:H52)</f>
        <v>225633834</v>
      </c>
      <c r="J52" s="21">
        <f>RANK(I52,$I$52:$I$58,0)+COUNTIF($I$52:I52,I52)-1</f>
        <v>1</v>
      </c>
      <c r="L52" s="18">
        <v>1</v>
      </c>
      <c r="N52" s="18" t="str">
        <f t="shared" ref="N52:N55" si="25">INDEX($A$52:$A$58,MATCH(L52,$J$52:$J$58,0))</f>
        <v>Romcarbon SA</v>
      </c>
      <c r="Q52" s="15">
        <f>SUMIF($A$52:$A$58,N52,$I$52:$I$58)</f>
        <v>225633834</v>
      </c>
      <c r="R52" s="27">
        <f t="shared" ref="R52:R55" si="26">Q52/$Q$59</f>
        <v>0.63193246284563853</v>
      </c>
    </row>
    <row r="53" spans="1:18" x14ac:dyDescent="0.25">
      <c r="A53" s="4" t="s">
        <v>104</v>
      </c>
      <c r="B53" s="3"/>
      <c r="C53" s="3"/>
      <c r="D53" s="3">
        <v>110666944.82000001</v>
      </c>
      <c r="E53" s="3">
        <v>133415290.42000002</v>
      </c>
      <c r="F53" s="6">
        <v>164064764.47999999</v>
      </c>
      <c r="G53" s="6">
        <v>115487833.52</v>
      </c>
      <c r="H53" s="6">
        <v>109272488.62</v>
      </c>
      <c r="I53" s="23">
        <f t="shared" ref="I53:I55" si="27">SUMPRODUCT($D$50:$H$50,D53:H53)</f>
        <v>109272488.62</v>
      </c>
      <c r="J53" s="21">
        <f>RANK(I53,$I$52:$I$58,0)+COUNTIF($I$52:I53,I53)-1</f>
        <v>2</v>
      </c>
      <c r="L53" s="18">
        <f>L52+1</f>
        <v>2</v>
      </c>
      <c r="N53" s="18" t="str">
        <f t="shared" si="25"/>
        <v>LivingJumbo Industry SA</v>
      </c>
      <c r="Q53" s="15">
        <f t="shared" ref="Q53:Q58" si="28">SUMIF($A$52:$A$58,N53,$I$52:$I$58)</f>
        <v>109272488.62</v>
      </c>
      <c r="R53" s="27">
        <f t="shared" si="26"/>
        <v>0.3060393542526455</v>
      </c>
    </row>
    <row r="54" spans="1:18" x14ac:dyDescent="0.25">
      <c r="A54" s="4" t="s">
        <v>105</v>
      </c>
      <c r="B54" s="3"/>
      <c r="C54" s="3"/>
      <c r="D54" s="3">
        <v>7646081.7999999998</v>
      </c>
      <c r="E54" s="3">
        <v>11711050.470000001</v>
      </c>
      <c r="F54" s="6">
        <v>17005204.48</v>
      </c>
      <c r="G54" s="6">
        <v>20393925.700000003</v>
      </c>
      <c r="H54" s="6">
        <v>19637384.949999999</v>
      </c>
      <c r="I54" s="23">
        <f t="shared" si="27"/>
        <v>19637384.949999999</v>
      </c>
      <c r="J54" s="21">
        <f>RANK(I54,$I$52:$I$58,0)+COUNTIF($I$52:I54,I54)-1</f>
        <v>3</v>
      </c>
      <c r="L54" s="18">
        <f t="shared" ref="L54:L55" si="29">L53+1</f>
        <v>3</v>
      </c>
      <c r="N54" s="18" t="str">
        <f t="shared" si="25"/>
        <v>RC Energo Install SRL</v>
      </c>
      <c r="Q54" s="15">
        <f t="shared" si="28"/>
        <v>19637384.949999999</v>
      </c>
      <c r="R54" s="27">
        <f t="shared" si="26"/>
        <v>5.4998405227211514E-2</v>
      </c>
    </row>
    <row r="55" spans="1:18" x14ac:dyDescent="0.25">
      <c r="A55" s="4" t="s">
        <v>106</v>
      </c>
      <c r="B55" s="3"/>
      <c r="C55" s="3"/>
      <c r="D55" s="3">
        <v>936533.44</v>
      </c>
      <c r="E55" s="3">
        <v>1071637.1499999999</v>
      </c>
      <c r="F55" s="6">
        <v>1124043.99</v>
      </c>
      <c r="G55" s="6">
        <v>2029034.4</v>
      </c>
      <c r="H55" s="6">
        <v>2510008.2400000002</v>
      </c>
      <c r="I55" s="23">
        <f t="shared" si="27"/>
        <v>2510008.2400000002</v>
      </c>
      <c r="J55" s="21">
        <f>RANK(I55,$I$52:$I$58,0)+COUNTIF($I$52:I55,I55)-1</f>
        <v>4</v>
      </c>
      <c r="L55" s="18">
        <f t="shared" si="29"/>
        <v>4</v>
      </c>
      <c r="N55" s="18" t="str">
        <f t="shared" si="25"/>
        <v>Info Tech Solutions SRL</v>
      </c>
      <c r="Q55" s="15">
        <f t="shared" si="28"/>
        <v>2510008.2400000002</v>
      </c>
      <c r="R55" s="27">
        <f t="shared" si="26"/>
        <v>7.0297776745044654E-3</v>
      </c>
    </row>
    <row r="56" spans="1:18" x14ac:dyDescent="0.25">
      <c r="A56" s="4"/>
      <c r="B56" s="3"/>
      <c r="C56" s="3"/>
      <c r="D56" s="3"/>
      <c r="E56" s="3"/>
      <c r="F56" s="6"/>
      <c r="G56" s="6"/>
      <c r="H56" s="6"/>
      <c r="I56" s="23"/>
      <c r="J56" s="21"/>
      <c r="Q56" s="15">
        <f t="shared" si="28"/>
        <v>0</v>
      </c>
      <c r="R56" s="27"/>
    </row>
    <row r="57" spans="1:18" x14ac:dyDescent="0.25">
      <c r="A57" s="4"/>
      <c r="B57" s="3"/>
      <c r="C57" s="3"/>
      <c r="D57" s="3"/>
      <c r="E57" s="3"/>
      <c r="F57" s="3"/>
      <c r="G57" s="6"/>
      <c r="H57" s="6"/>
      <c r="I57" s="23"/>
      <c r="J57" s="21"/>
      <c r="Q57" s="15">
        <f t="shared" si="28"/>
        <v>0</v>
      </c>
      <c r="R57" s="27"/>
    </row>
    <row r="58" spans="1:18" x14ac:dyDescent="0.25">
      <c r="G58" s="6"/>
      <c r="H58" s="6"/>
      <c r="I58" s="23"/>
      <c r="J58" s="21"/>
      <c r="Q58" s="15">
        <f t="shared" si="28"/>
        <v>0</v>
      </c>
      <c r="R58" s="27"/>
    </row>
    <row r="59" spans="1:18" x14ac:dyDescent="0.25">
      <c r="Q59" s="21">
        <f>SUM(Q52:Q58)</f>
        <v>357053715.81</v>
      </c>
    </row>
    <row r="60" spans="1:18" x14ac:dyDescent="0.25">
      <c r="Q60" s="10" t="str">
        <f>"Total : "&amp;" lei "&amp;TEXT(Q59,"#,##0;[Red]-#,##0")</f>
        <v>Total :  lei 357,053,716</v>
      </c>
    </row>
    <row r="62" spans="1:18" x14ac:dyDescent="0.25">
      <c r="B62" s="14">
        <f>B15</f>
        <v>2021</v>
      </c>
      <c r="C62" s="14">
        <f t="shared" ref="C62:F62" si="30">C15</f>
        <v>2022</v>
      </c>
      <c r="D62" s="14">
        <f t="shared" si="30"/>
        <v>2023</v>
      </c>
      <c r="E62" s="14">
        <f t="shared" si="30"/>
        <v>2024</v>
      </c>
      <c r="F62" s="14">
        <f t="shared" si="30"/>
        <v>2025</v>
      </c>
      <c r="Q62" s="10" t="str">
        <f>"Structure of Revenues on companies in "&amp;'2.Comprehensive income'!T32</f>
        <v>Structure of Revenues on companies in 2025</v>
      </c>
    </row>
    <row r="63" spans="1:18" x14ac:dyDescent="0.25">
      <c r="A63" s="13" t="str">
        <f>A10</f>
        <v>Total liabilities</v>
      </c>
      <c r="B63" s="27">
        <f>B10/B$12</f>
        <v>0.53971049111202019</v>
      </c>
      <c r="C63" s="27">
        <f t="shared" ref="C63:F63" si="31">C10/C$12</f>
        <v>0.50690332579091435</v>
      </c>
      <c r="D63" s="27">
        <f t="shared" si="31"/>
        <v>0.48031455343328772</v>
      </c>
      <c r="E63" s="27">
        <f t="shared" si="31"/>
        <v>0.49440987759979488</v>
      </c>
      <c r="F63" s="27">
        <f t="shared" si="31"/>
        <v>0.46888513942628907</v>
      </c>
    </row>
    <row r="64" spans="1:18" x14ac:dyDescent="0.25">
      <c r="A64" s="13" t="str">
        <f>A11</f>
        <v>Total Equity</v>
      </c>
      <c r="B64" s="27">
        <f>B11/B$12</f>
        <v>0.4602895088879797</v>
      </c>
      <c r="C64" s="27">
        <f t="shared" ref="C64:F64" si="32">C11/C$12</f>
        <v>0.49309667420908565</v>
      </c>
      <c r="D64" s="27">
        <f t="shared" si="32"/>
        <v>0.51968544656671223</v>
      </c>
      <c r="E64" s="27">
        <f t="shared" si="32"/>
        <v>0.50559012240020518</v>
      </c>
      <c r="F64" s="27">
        <f t="shared" si="32"/>
        <v>0.53111486057371093</v>
      </c>
    </row>
    <row r="66" spans="1:1" x14ac:dyDescent="0.25">
      <c r="A66" s="10" t="str">
        <f>"Total "&amp;Charts!N2</f>
        <v>Total Equity&amp;Liabilities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S56"/>
  <sheetViews>
    <sheetView showGridLines="0" zoomScale="96" zoomScaleNormal="96" workbookViewId="0">
      <selection activeCell="H30" sqref="H30"/>
    </sheetView>
  </sheetViews>
  <sheetFormatPr defaultColWidth="9.140625" defaultRowHeight="15" x14ac:dyDescent="0.25"/>
  <cols>
    <col min="1" max="1" width="0.85546875" style="33" customWidth="1"/>
    <col min="2" max="2" width="1.85546875" style="33" customWidth="1"/>
    <col min="3" max="3" width="40.5703125" style="33" customWidth="1"/>
    <col min="4" max="7" width="13.85546875" style="33" bestFit="1" customWidth="1"/>
    <col min="8" max="8" width="14" style="33" bestFit="1" customWidth="1"/>
    <col min="9" max="9" width="3.140625" style="33" bestFit="1" customWidth="1"/>
    <col min="10" max="10" width="13.140625" style="33" bestFit="1" customWidth="1"/>
    <col min="11" max="11" width="7.5703125" style="33" bestFit="1" customWidth="1"/>
    <col min="12" max="14" width="9.140625" style="33"/>
    <col min="15" max="15" width="10.7109375" style="33" bestFit="1" customWidth="1"/>
    <col min="16" max="18" width="9.140625" style="33"/>
    <col min="19" max="19" width="4.85546875" style="33" bestFit="1" customWidth="1"/>
    <col min="20" max="20" width="9.140625" style="33"/>
    <col min="21" max="21" width="2.42578125" style="33" customWidth="1"/>
    <col min="22" max="16384" width="9.140625" style="33"/>
  </cols>
  <sheetData>
    <row r="2" spans="3:19" x14ac:dyDescent="0.25">
      <c r="C2" s="33" t="s">
        <v>174</v>
      </c>
      <c r="J2" s="44"/>
      <c r="K2" s="44"/>
    </row>
    <row r="3" spans="3:19" ht="31.5" customHeight="1" x14ac:dyDescent="0.25">
      <c r="C3" s="174" t="s">
        <v>68</v>
      </c>
      <c r="D3" s="175">
        <f>'2.Comprehensive income'!C3</f>
        <v>2021</v>
      </c>
      <c r="E3" s="175">
        <f>'2.Comprehensive income'!D3</f>
        <v>2022</v>
      </c>
      <c r="F3" s="175">
        <f>'2.Comprehensive income'!E3</f>
        <v>2023</v>
      </c>
      <c r="G3" s="175">
        <f>'2.Comprehensive income'!F3</f>
        <v>2024</v>
      </c>
      <c r="H3" s="175">
        <f>'2.Comprehensive income'!G3</f>
        <v>2025</v>
      </c>
      <c r="I3" s="224" t="str">
        <f>CONCATENATE(H3," vs. ",G3)</f>
        <v>2025 vs. 2024</v>
      </c>
      <c r="J3" s="224"/>
      <c r="K3" s="224"/>
    </row>
    <row r="4" spans="3:19" x14ac:dyDescent="0.25">
      <c r="C4" s="176" t="s">
        <v>99</v>
      </c>
      <c r="D4" s="40">
        <f>'2.Comprehensive income'!C4</f>
        <v>341319436</v>
      </c>
      <c r="E4" s="40">
        <f>'2.Comprehensive income'!D4</f>
        <v>381985677</v>
      </c>
      <c r="F4" s="40">
        <f>'2.Comprehensive income'!E4</f>
        <v>304683985</v>
      </c>
      <c r="G4" s="40">
        <f>'2.Comprehensive income'!F4</f>
        <v>307315650</v>
      </c>
      <c r="H4" s="161">
        <f>'2.Comprehensive income'!G4</f>
        <v>259383195</v>
      </c>
      <c r="I4" s="41" t="str">
        <f>IF(H4+G4&gt;0,IF(H4&gt;G4,"▲",IF(H4=G4,"▬","▼")),IF(H4&gt;G4,"▼",IF(H4=G4,"▬","▲")))</f>
        <v>▼</v>
      </c>
      <c r="J4" s="40">
        <f>H4-G4</f>
        <v>-47932455</v>
      </c>
      <c r="K4" s="42">
        <f>H4/G4-1</f>
        <v>-0.15597140920093067</v>
      </c>
      <c r="S4" s="127">
        <f>H4/D4-1</f>
        <v>-0.24005735495238545</v>
      </c>
    </row>
    <row r="5" spans="3:19" x14ac:dyDescent="0.25">
      <c r="C5" s="176" t="s">
        <v>157</v>
      </c>
      <c r="D5" s="40">
        <f>'2.Comprehensive income'!C5</f>
        <v>4291042</v>
      </c>
      <c r="E5" s="40">
        <f>'2.Comprehensive income'!D5</f>
        <v>4287141</v>
      </c>
      <c r="F5" s="40">
        <f>'2.Comprehensive income'!E5</f>
        <v>4103607</v>
      </c>
      <c r="G5" s="40">
        <f>'2.Comprehensive income'!F5</f>
        <v>3784998</v>
      </c>
      <c r="H5" s="161">
        <f>'2.Comprehensive income'!G5</f>
        <v>4357559</v>
      </c>
      <c r="I5" s="41" t="str">
        <f t="shared" ref="I5:I14" si="0">IF(H5+G5&gt;0,IF(H5&gt;G5,"▲",IF(H5=G5,"▬","▼")),IF(H5&gt;G5,"▼",IF(H5=G5,"▬","▲")))</f>
        <v>▲</v>
      </c>
      <c r="J5" s="40">
        <f t="shared" ref="J5:J16" si="1">H5-G5</f>
        <v>572561</v>
      </c>
      <c r="K5" s="42">
        <f t="shared" ref="K5:K16" si="2">H5/G5-1</f>
        <v>0.15127114994512536</v>
      </c>
    </row>
    <row r="6" spans="3:19" x14ac:dyDescent="0.25">
      <c r="C6" s="176" t="s">
        <v>166</v>
      </c>
      <c r="D6" s="40">
        <f>'2.Comprehensive income'!C16</f>
        <v>-1144984.9882143368</v>
      </c>
      <c r="E6" s="40">
        <f>'2.Comprehensive income'!D16</f>
        <v>2402565.1812179028</v>
      </c>
      <c r="F6" s="40">
        <f>'2.Comprehensive income'!E16</f>
        <v>0</v>
      </c>
      <c r="G6" s="40">
        <f>'2.Comprehensive income'!F16</f>
        <v>0</v>
      </c>
      <c r="H6" s="161">
        <f>'2.Comprehensive income'!G16</f>
        <v>0</v>
      </c>
      <c r="I6" s="41" t="str">
        <f t="shared" ref="I6" si="3">IF(H6+G6&gt;0,IF(H6&gt;G6,"▲",IF(H6=G6,"▬","▼")),IF(H6&gt;G6,"▼",IF(H6=G6,"▬","▲")))</f>
        <v>▬</v>
      </c>
      <c r="J6" s="40">
        <f t="shared" ref="J6" si="4">H6-G6</f>
        <v>0</v>
      </c>
      <c r="K6" s="42"/>
    </row>
    <row r="7" spans="3:19" x14ac:dyDescent="0.25">
      <c r="C7" s="176" t="s">
        <v>26</v>
      </c>
      <c r="D7" s="38">
        <f>'EBIT-EBITDA'!C10</f>
        <v>15528593.601787373</v>
      </c>
      <c r="E7" s="38">
        <f>'EBIT-EBITDA'!D10</f>
        <v>70401193.153695643</v>
      </c>
      <c r="F7" s="38">
        <f>'EBIT-EBITDA'!E10</f>
        <v>8949657.4899999984</v>
      </c>
      <c r="G7" s="38">
        <f>'EBIT-EBITDA'!F10</f>
        <v>3440565</v>
      </c>
      <c r="H7" s="161">
        <f>'EBIT-EBITDA'!G10</f>
        <v>12313345</v>
      </c>
      <c r="I7" s="41" t="str">
        <f t="shared" si="0"/>
        <v>▲</v>
      </c>
      <c r="J7" s="40">
        <f t="shared" si="1"/>
        <v>8872780</v>
      </c>
      <c r="K7" s="42">
        <f t="shared" si="2"/>
        <v>2.5788729467398523</v>
      </c>
    </row>
    <row r="8" spans="3:19" x14ac:dyDescent="0.25">
      <c r="C8" s="176" t="s">
        <v>165</v>
      </c>
      <c r="D8" s="40">
        <v>16824567.811731935</v>
      </c>
      <c r="E8" s="40">
        <v>24700499.060582638</v>
      </c>
      <c r="F8" s="40">
        <v>5210408.0801220527</v>
      </c>
      <c r="G8" s="40">
        <v>2302907.0709699392</v>
      </c>
      <c r="H8" s="161">
        <v>7057131.9296709299</v>
      </c>
      <c r="I8" s="41" t="str">
        <f t="shared" ref="I8" si="5">IF(H8+G8&gt;0,IF(H8&gt;G8,"▲",IF(H8=G8,"▬","▼")),IF(H8&gt;G8,"▼",IF(H8=G8,"▬","▲")))</f>
        <v>▲</v>
      </c>
      <c r="J8" s="40">
        <f t="shared" ref="J8" si="6">H8-G8</f>
        <v>4754224.8587009907</v>
      </c>
      <c r="K8" s="42">
        <f t="shared" ref="K8" si="7">H8/G8-1</f>
        <v>2.0644449437981902</v>
      </c>
    </row>
    <row r="9" spans="3:19" x14ac:dyDescent="0.25">
      <c r="C9" s="176" t="s">
        <v>64</v>
      </c>
      <c r="D9" s="38">
        <f>'2.Comprehensive income'!C21</f>
        <v>1790612.1117873723</v>
      </c>
      <c r="E9" s="38">
        <f>'2.Comprehensive income'!D21</f>
        <v>56124754.813695632</v>
      </c>
      <c r="F9" s="38">
        <f>'2.Comprehensive income'!E21</f>
        <v>-5135847</v>
      </c>
      <c r="G9" s="38">
        <f>'2.Comprehensive income'!F21</f>
        <v>-10401328</v>
      </c>
      <c r="H9" s="161">
        <f>'2.Comprehensive income'!G21</f>
        <v>152911</v>
      </c>
      <c r="I9" s="41" t="str">
        <f>IF(H9+G9&gt;0,IF(H9&gt;G9,"▲",IF(H9=G9,"▬","▼")),IF(H9&gt;G9,"▼",IF(H9=G9,"▬","▲")))</f>
        <v>▼</v>
      </c>
      <c r="J9" s="40">
        <f>H9-G9</f>
        <v>10554239</v>
      </c>
      <c r="K9" s="42">
        <f t="shared" si="2"/>
        <v>-1.0147011035513926</v>
      </c>
    </row>
    <row r="10" spans="3:19" ht="37.35" customHeight="1" x14ac:dyDescent="0.25">
      <c r="C10" s="180" t="s">
        <v>177</v>
      </c>
      <c r="D10" s="177">
        <f>D9-D6</f>
        <v>2935597.1000017091</v>
      </c>
      <c r="E10" s="177">
        <f t="shared" ref="E10:H10" si="8">E9-E6</f>
        <v>53722189.632477731</v>
      </c>
      <c r="F10" s="177">
        <f t="shared" si="8"/>
        <v>-5135847</v>
      </c>
      <c r="G10" s="177">
        <f t="shared" si="8"/>
        <v>-10401328</v>
      </c>
      <c r="H10" s="161">
        <f t="shared" si="8"/>
        <v>152911</v>
      </c>
      <c r="I10" s="178" t="str">
        <f>IF(H10+G10&gt;0,IF(H10&gt;G10,"▲",IF(H10=G10,"▬","▼")),IF(H10&gt;G10,"▼",IF(H10=G10,"▬","▲")))</f>
        <v>▼</v>
      </c>
      <c r="J10" s="177">
        <f>H10-G10</f>
        <v>10554239</v>
      </c>
      <c r="K10" s="179">
        <f t="shared" ref="K10" si="9">H10/G10-1</f>
        <v>-1.0147011035513926</v>
      </c>
    </row>
    <row r="11" spans="3:19" x14ac:dyDescent="0.25">
      <c r="C11" s="176" t="s">
        <v>65</v>
      </c>
      <c r="D11" s="38">
        <f>'1.FinancialPosition'!C11</f>
        <v>167356017.69694859</v>
      </c>
      <c r="E11" s="38">
        <f>'1.FinancialPosition'!D11</f>
        <v>134542936</v>
      </c>
      <c r="F11" s="38">
        <f>'1.FinancialPosition'!E11</f>
        <v>134774315</v>
      </c>
      <c r="G11" s="38">
        <f>'1.FinancialPosition'!F11</f>
        <v>139003927</v>
      </c>
      <c r="H11" s="161">
        <f>'1.FinancialPosition'!G11</f>
        <v>138091235</v>
      </c>
      <c r="I11" s="41" t="str">
        <f t="shared" si="0"/>
        <v>▼</v>
      </c>
      <c r="J11" s="40">
        <f t="shared" si="1"/>
        <v>-912692</v>
      </c>
      <c r="K11" s="42">
        <f t="shared" si="2"/>
        <v>-6.5659439966757605E-3</v>
      </c>
    </row>
    <row r="12" spans="3:19" x14ac:dyDescent="0.25">
      <c r="C12" s="176" t="s">
        <v>66</v>
      </c>
      <c r="D12" s="38">
        <f>'1.FinancialPosition'!C18</f>
        <v>134454393.24675953</v>
      </c>
      <c r="E12" s="38">
        <f>'1.FinancialPosition'!D18</f>
        <v>209568594</v>
      </c>
      <c r="F12" s="38">
        <f>'1.FinancialPosition'!E18</f>
        <v>157796518</v>
      </c>
      <c r="G12" s="38">
        <f>'1.FinancialPosition'!F18</f>
        <v>136339239</v>
      </c>
      <c r="H12" s="161">
        <f>'1.FinancialPosition'!G18</f>
        <v>121304753</v>
      </c>
      <c r="I12" s="41" t="str">
        <f t="shared" si="0"/>
        <v>▼</v>
      </c>
      <c r="J12" s="40">
        <f t="shared" si="1"/>
        <v>-15034486</v>
      </c>
      <c r="K12" s="42">
        <f t="shared" si="2"/>
        <v>-0.11027262665005777</v>
      </c>
    </row>
    <row r="13" spans="3:19" x14ac:dyDescent="0.25">
      <c r="C13" s="176" t="s">
        <v>9</v>
      </c>
      <c r="D13" s="38">
        <f>'1.FinancialPosition'!C26</f>
        <v>138920166.01707643</v>
      </c>
      <c r="E13" s="38">
        <f>'1.FinancialPosition'!D26</f>
        <v>169680251</v>
      </c>
      <c r="F13" s="38">
        <f>'1.FinancialPosition'!E26</f>
        <v>152044804</v>
      </c>
      <c r="G13" s="38">
        <f>'1.FinancialPosition'!F26</f>
        <v>139210785</v>
      </c>
      <c r="H13" s="161">
        <f>'1.FinancialPosition'!G26</f>
        <v>137769064</v>
      </c>
      <c r="I13" s="41" t="str">
        <f t="shared" si="0"/>
        <v>▼</v>
      </c>
      <c r="J13" s="40">
        <f t="shared" si="1"/>
        <v>-1441721</v>
      </c>
      <c r="K13" s="42">
        <f t="shared" si="2"/>
        <v>-1.0356388695028196E-2</v>
      </c>
    </row>
    <row r="14" spans="3:19" x14ac:dyDescent="0.25">
      <c r="C14" s="176" t="s">
        <v>67</v>
      </c>
      <c r="D14" s="38">
        <f>'1.FinancialPosition'!C38</f>
        <v>162890245.33184984</v>
      </c>
      <c r="E14" s="38">
        <f>'1.FinancialPosition'!D38</f>
        <v>174431279</v>
      </c>
      <c r="F14" s="38">
        <f>'1.FinancialPosition'!E38</f>
        <v>140526029</v>
      </c>
      <c r="G14" s="38">
        <f>'1.FinancialPosition'!F38</f>
        <v>136132381</v>
      </c>
      <c r="H14" s="161">
        <f>'1.FinancialPosition'!G38</f>
        <v>121626924</v>
      </c>
      <c r="I14" s="41" t="str">
        <f t="shared" si="0"/>
        <v>▼</v>
      </c>
      <c r="J14" s="40">
        <f t="shared" si="1"/>
        <v>-14505457</v>
      </c>
      <c r="K14" s="42">
        <f t="shared" si="2"/>
        <v>-0.10655405344008495</v>
      </c>
    </row>
    <row r="15" spans="3:19" x14ac:dyDescent="0.25">
      <c r="C15" s="176" t="s">
        <v>137</v>
      </c>
      <c r="D15" s="43">
        <f>D14/(D11+D12)</f>
        <v>0.53971049183664899</v>
      </c>
      <c r="E15" s="43">
        <f t="shared" ref="E15" si="10">E14/(E11+E12)</f>
        <v>0.50690332579091435</v>
      </c>
      <c r="F15" s="43">
        <f>F14/(F11+F12)</f>
        <v>0.48031455343328772</v>
      </c>
      <c r="G15" s="43">
        <f t="shared" ref="G15:H15" si="11">G14/(G11+G12)</f>
        <v>0.49440987759979488</v>
      </c>
      <c r="H15" s="181">
        <f t="shared" si="11"/>
        <v>0.46888513942628907</v>
      </c>
      <c r="I15" s="41" t="str">
        <f>IF(H15+G15&gt;0,IF(H15&gt;G15,"▲",IF(H15=G15,"▬","▼")),IF(H15&gt;G15,"▼",IF(H15=G15,"▬","▲")))</f>
        <v>▼</v>
      </c>
      <c r="J15" s="40">
        <f t="shared" si="1"/>
        <v>-2.5524738173505812E-2</v>
      </c>
      <c r="K15" s="42">
        <f t="shared" si="2"/>
        <v>-5.1626675214136997E-2</v>
      </c>
    </row>
    <row r="16" spans="3:19" x14ac:dyDescent="0.25">
      <c r="C16" s="176" t="s">
        <v>138</v>
      </c>
      <c r="D16" s="43">
        <f>'1.FinancialPosition'!C18/'1.FinancialPosition'!C37</f>
        <v>1.0296791115725874</v>
      </c>
      <c r="E16" s="43">
        <f>'1.FinancialPosition'!D18/'1.FinancialPosition'!D37</f>
        <v>1.4179945233256319</v>
      </c>
      <c r="F16" s="43">
        <f>'1.FinancialPosition'!E18/'1.FinancialPosition'!E37</f>
        <v>1.3835630589700565</v>
      </c>
      <c r="G16" s="43">
        <f>'1.FinancialPosition'!F18/'1.FinancialPosition'!F37</f>
        <v>1.1433885990454455</v>
      </c>
      <c r="H16" s="181">
        <f>'1.FinancialPosition'!G18/'1.FinancialPosition'!G37</f>
        <v>1.1534926030882209</v>
      </c>
      <c r="I16" s="41" t="str">
        <f>IF(H16+G16&gt;0,IF(H16&gt;G16,"▲",IF(H16=G16,"▬","▼")),IF(H16&gt;G16,"▼",IF(H16=G16,"▬","▲")))</f>
        <v>▲</v>
      </c>
      <c r="J16" s="40">
        <f t="shared" si="1"/>
        <v>1.0104004042775339E-2</v>
      </c>
      <c r="K16" s="42">
        <f t="shared" si="2"/>
        <v>8.8368941680987412E-3</v>
      </c>
    </row>
    <row r="17" spans="3:15" x14ac:dyDescent="0.25">
      <c r="C17" s="44" t="s">
        <v>176</v>
      </c>
    </row>
    <row r="18" spans="3:15" x14ac:dyDescent="0.25">
      <c r="C18" s="225" t="s">
        <v>167</v>
      </c>
      <c r="D18" s="225"/>
      <c r="E18" s="225"/>
      <c r="F18" s="225"/>
      <c r="G18" s="225"/>
      <c r="H18" s="225"/>
      <c r="I18" s="225"/>
      <c r="J18" s="225"/>
      <c r="K18" s="225"/>
    </row>
    <row r="19" spans="3:15" x14ac:dyDescent="0.25">
      <c r="C19" s="225"/>
      <c r="D19" s="225"/>
      <c r="E19" s="225"/>
      <c r="F19" s="225"/>
      <c r="G19" s="225"/>
      <c r="H19" s="225"/>
      <c r="I19" s="225"/>
      <c r="J19" s="225"/>
      <c r="K19" s="225"/>
    </row>
    <row r="20" spans="3:15" ht="14.45" customHeight="1" x14ac:dyDescent="0.25">
      <c r="C20" s="225" t="s">
        <v>168</v>
      </c>
      <c r="D20" s="225"/>
      <c r="E20" s="225"/>
      <c r="F20" s="225"/>
      <c r="G20" s="225"/>
      <c r="H20" s="225"/>
      <c r="I20" s="225"/>
      <c r="J20" s="225"/>
      <c r="K20" s="225"/>
      <c r="L20" s="104"/>
    </row>
    <row r="21" spans="3:15" x14ac:dyDescent="0.25">
      <c r="C21" s="225"/>
      <c r="D21" s="225"/>
      <c r="E21" s="225"/>
      <c r="F21" s="225"/>
      <c r="G21" s="225"/>
      <c r="H21" s="225"/>
      <c r="I21" s="225"/>
      <c r="J21" s="225"/>
      <c r="K21" s="225"/>
      <c r="L21" s="104"/>
    </row>
    <row r="25" spans="3:15" x14ac:dyDescent="0.25">
      <c r="M25" s="146"/>
      <c r="N25" s="146"/>
      <c r="O25" s="146"/>
    </row>
    <row r="26" spans="3:15" x14ac:dyDescent="0.25">
      <c r="M26" s="146"/>
      <c r="N26" s="146"/>
      <c r="O26" s="146"/>
    </row>
    <row r="27" spans="3:15" x14ac:dyDescent="0.25">
      <c r="M27" s="146"/>
      <c r="N27" s="146"/>
      <c r="O27" s="146"/>
    </row>
    <row r="28" spans="3:15" x14ac:dyDescent="0.25">
      <c r="M28" s="146"/>
      <c r="N28" s="146"/>
      <c r="O28" s="146"/>
    </row>
    <row r="29" spans="3:15" x14ac:dyDescent="0.25">
      <c r="M29" s="146"/>
      <c r="N29" s="146"/>
      <c r="O29" s="146"/>
    </row>
    <row r="30" spans="3:15" x14ac:dyDescent="0.25">
      <c r="M30" s="146"/>
      <c r="N30" s="146"/>
      <c r="O30" s="146"/>
    </row>
    <row r="31" spans="3:15" x14ac:dyDescent="0.25">
      <c r="M31" s="146"/>
      <c r="N31" s="146"/>
      <c r="O31" s="146"/>
    </row>
    <row r="32" spans="3:15" x14ac:dyDescent="0.25">
      <c r="M32" s="146"/>
      <c r="N32" s="146"/>
      <c r="O32" s="146"/>
    </row>
    <row r="33" spans="4:15" x14ac:dyDescent="0.25">
      <c r="M33" s="146"/>
      <c r="N33" s="146"/>
      <c r="O33" s="146"/>
    </row>
    <row r="34" spans="4:15" x14ac:dyDescent="0.25">
      <c r="M34" s="146"/>
      <c r="N34" s="146"/>
      <c r="O34" s="146"/>
    </row>
    <row r="35" spans="4:15" x14ac:dyDescent="0.25">
      <c r="M35" s="146"/>
      <c r="N35" s="146"/>
      <c r="O35" s="146"/>
    </row>
    <row r="36" spans="4:15" x14ac:dyDescent="0.25">
      <c r="M36" s="146"/>
      <c r="N36" s="146"/>
      <c r="O36" s="146"/>
    </row>
    <row r="37" spans="4:15" x14ac:dyDescent="0.25">
      <c r="D37" s="146"/>
      <c r="E37" s="146"/>
      <c r="F37" s="146"/>
      <c r="G37" s="146"/>
      <c r="H37" s="146"/>
      <c r="I37" s="146"/>
      <c r="J37" s="146"/>
      <c r="K37" s="146"/>
      <c r="M37" s="146"/>
      <c r="N37" s="146"/>
      <c r="O37" s="146"/>
    </row>
    <row r="38" spans="4:15" x14ac:dyDescent="0.25">
      <c r="D38" s="146"/>
      <c r="E38" s="146"/>
      <c r="F38" s="146"/>
      <c r="G38" s="146"/>
      <c r="H38" s="146"/>
      <c r="I38" s="146"/>
      <c r="J38" s="146"/>
      <c r="K38" s="146"/>
    </row>
    <row r="39" spans="4:15" x14ac:dyDescent="0.25">
      <c r="D39" s="146"/>
      <c r="E39" s="146"/>
      <c r="F39" s="146"/>
      <c r="G39" s="146"/>
      <c r="H39" s="146"/>
      <c r="I39" s="146"/>
      <c r="J39" s="146"/>
      <c r="K39" s="146"/>
    </row>
    <row r="40" spans="4:15" x14ac:dyDescent="0.25">
      <c r="D40" s="146"/>
      <c r="E40" s="146"/>
      <c r="F40" s="146"/>
      <c r="G40" s="146"/>
      <c r="H40" s="146"/>
      <c r="I40" s="146"/>
      <c r="J40" s="146"/>
      <c r="K40" s="146"/>
    </row>
    <row r="41" spans="4:15" x14ac:dyDescent="0.25">
      <c r="D41" s="146"/>
      <c r="E41" s="146"/>
      <c r="F41" s="146"/>
      <c r="G41" s="146"/>
      <c r="H41" s="146"/>
      <c r="I41" s="146"/>
      <c r="J41" s="146"/>
      <c r="K41" s="146"/>
    </row>
    <row r="42" spans="4:15" x14ac:dyDescent="0.25">
      <c r="D42" s="146"/>
      <c r="E42" s="146"/>
      <c r="F42" s="146"/>
      <c r="G42" s="146"/>
      <c r="H42" s="146"/>
      <c r="I42" s="146"/>
      <c r="J42" s="146"/>
      <c r="K42" s="146"/>
    </row>
    <row r="43" spans="4:15" x14ac:dyDescent="0.25">
      <c r="D43" s="146"/>
      <c r="E43" s="146"/>
      <c r="F43" s="146"/>
      <c r="G43" s="146"/>
      <c r="H43" s="146"/>
      <c r="I43" s="146"/>
      <c r="J43" s="146"/>
      <c r="K43" s="146"/>
    </row>
    <row r="44" spans="4:15" x14ac:dyDescent="0.25">
      <c r="D44" s="146"/>
      <c r="E44" s="146"/>
      <c r="F44" s="146"/>
      <c r="G44" s="146"/>
      <c r="H44" s="146"/>
      <c r="I44" s="146"/>
      <c r="J44" s="146"/>
      <c r="K44" s="146"/>
    </row>
    <row r="45" spans="4:15" x14ac:dyDescent="0.25">
      <c r="D45" s="146"/>
      <c r="E45" s="146"/>
      <c r="F45" s="146"/>
      <c r="G45" s="146"/>
      <c r="H45" s="146"/>
      <c r="I45" s="146"/>
      <c r="J45" s="146"/>
      <c r="K45" s="146"/>
    </row>
    <row r="46" spans="4:15" x14ac:dyDescent="0.25">
      <c r="D46" s="146"/>
      <c r="E46" s="146"/>
      <c r="F46" s="146"/>
      <c r="G46" s="146"/>
      <c r="H46" s="146"/>
      <c r="I46" s="146"/>
      <c r="J46" s="146"/>
      <c r="K46" s="146"/>
    </row>
    <row r="47" spans="4:15" x14ac:dyDescent="0.25">
      <c r="D47" s="146"/>
      <c r="E47" s="146"/>
      <c r="F47" s="146"/>
      <c r="G47" s="146"/>
      <c r="H47" s="146"/>
      <c r="I47" s="146"/>
      <c r="J47" s="146"/>
      <c r="K47" s="146"/>
    </row>
    <row r="48" spans="4:15" x14ac:dyDescent="0.25">
      <c r="D48" s="146"/>
      <c r="E48" s="146"/>
      <c r="F48" s="146"/>
      <c r="G48" s="146"/>
      <c r="H48" s="146"/>
      <c r="I48" s="146"/>
      <c r="J48" s="146"/>
      <c r="K48" s="146"/>
    </row>
    <row r="49" spans="4:11" x14ac:dyDescent="0.25">
      <c r="D49" s="146"/>
      <c r="E49" s="146"/>
      <c r="F49" s="146"/>
      <c r="G49" s="146"/>
      <c r="H49" s="146"/>
      <c r="I49" s="146"/>
      <c r="J49" s="146"/>
      <c r="K49" s="146"/>
    </row>
    <row r="50" spans="4:11" x14ac:dyDescent="0.25">
      <c r="D50" s="146"/>
      <c r="E50" s="146"/>
      <c r="F50" s="146"/>
      <c r="G50" s="146"/>
      <c r="H50" s="146"/>
      <c r="I50" s="146"/>
      <c r="J50" s="146"/>
      <c r="K50" s="146"/>
    </row>
    <row r="51" spans="4:11" x14ac:dyDescent="0.25">
      <c r="D51" s="146"/>
      <c r="E51" s="146"/>
      <c r="F51" s="146"/>
      <c r="G51" s="146"/>
      <c r="H51" s="146"/>
      <c r="I51" s="146"/>
      <c r="J51" s="146"/>
      <c r="K51" s="146"/>
    </row>
    <row r="52" spans="4:11" x14ac:dyDescent="0.25">
      <c r="D52" s="146"/>
      <c r="E52" s="146"/>
      <c r="F52" s="146"/>
      <c r="G52" s="146"/>
      <c r="H52" s="146"/>
      <c r="I52" s="146"/>
      <c r="J52" s="146"/>
      <c r="K52" s="146"/>
    </row>
    <row r="53" spans="4:11" x14ac:dyDescent="0.25">
      <c r="D53" s="146"/>
      <c r="E53" s="146"/>
      <c r="F53" s="146"/>
      <c r="G53" s="146"/>
      <c r="H53" s="146"/>
    </row>
    <row r="54" spans="4:11" x14ac:dyDescent="0.25">
      <c r="D54" s="146"/>
      <c r="E54" s="146"/>
      <c r="F54" s="146"/>
      <c r="G54" s="146"/>
      <c r="H54" s="146"/>
    </row>
    <row r="55" spans="4:11" x14ac:dyDescent="0.25">
      <c r="D55" s="146"/>
      <c r="E55" s="146"/>
      <c r="F55" s="146"/>
      <c r="G55" s="146"/>
      <c r="H55" s="146"/>
    </row>
    <row r="56" spans="4:11" x14ac:dyDescent="0.25">
      <c r="D56" s="146"/>
      <c r="E56" s="146"/>
      <c r="F56" s="146"/>
      <c r="G56" s="146"/>
      <c r="H56" s="146"/>
    </row>
  </sheetData>
  <mergeCells count="3">
    <mergeCell ref="I3:K3"/>
    <mergeCell ref="C18:K19"/>
    <mergeCell ref="C20:K21"/>
  </mergeCells>
  <conditionalFormatting sqref="I4:I14">
    <cfRule type="expression" dxfId="27" priority="2">
      <formula>H4&lt;G4</formula>
    </cfRule>
    <cfRule type="expression" dxfId="26" priority="3">
      <formula>H4&gt;G4</formula>
    </cfRule>
  </conditionalFormatting>
  <conditionalFormatting sqref="I4:I16">
    <cfRule type="expression" dxfId="25" priority="1">
      <formula>H4=G4</formula>
    </cfRule>
  </conditionalFormatting>
  <conditionalFormatting sqref="I15">
    <cfRule type="expression" dxfId="24" priority="74">
      <formula>H15&gt;G15</formula>
    </cfRule>
    <cfRule type="expression" dxfId="23" priority="75">
      <formula>#REF!&lt;G15</formula>
    </cfRule>
  </conditionalFormatting>
  <conditionalFormatting sqref="I16">
    <cfRule type="expression" dxfId="22" priority="20">
      <formula>H16&lt;G16</formula>
    </cfRule>
    <cfRule type="expression" dxfId="21" priority="21">
      <formula>H16&gt;G16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4"/>
  <sheetViews>
    <sheetView showGridLines="0" zoomScale="96" zoomScaleNormal="96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F45" sqref="F45"/>
    </sheetView>
  </sheetViews>
  <sheetFormatPr defaultColWidth="9.140625" defaultRowHeight="14.25" x14ac:dyDescent="0.25"/>
  <cols>
    <col min="1" max="1" width="4.5703125" style="110" customWidth="1"/>
    <col min="2" max="2" width="47" style="110" bestFit="1" customWidth="1"/>
    <col min="3" max="3" width="11.42578125" style="110" bestFit="1" customWidth="1"/>
    <col min="4" max="4" width="11" style="110" bestFit="1" customWidth="1"/>
    <col min="5" max="6" width="11.42578125" style="110" bestFit="1" customWidth="1"/>
    <col min="7" max="7" width="11.140625" style="110" bestFit="1" customWidth="1"/>
    <col min="8" max="8" width="7.5703125" style="110" bestFit="1" customWidth="1"/>
    <col min="9" max="9" width="10.42578125" style="110" bestFit="1" customWidth="1"/>
    <col min="10" max="10" width="3" style="110" bestFit="1" customWidth="1"/>
    <col min="11" max="11" width="8.5703125" style="110" bestFit="1" customWidth="1"/>
    <col min="12" max="12" width="9.140625" style="110"/>
    <col min="13" max="13" width="13.5703125" style="110" bestFit="1" customWidth="1"/>
    <col min="14" max="14" width="31.42578125" style="110" customWidth="1"/>
    <col min="15" max="16384" width="9.140625" style="110"/>
  </cols>
  <sheetData>
    <row r="2" spans="2:11" ht="15.75" thickBot="1" x14ac:dyDescent="0.3">
      <c r="B2" s="110" t="s">
        <v>172</v>
      </c>
      <c r="I2" s="111"/>
      <c r="J2" s="112"/>
    </row>
    <row r="3" spans="2:11" ht="29.25" thickBot="1" x14ac:dyDescent="0.3">
      <c r="B3" s="152" t="s">
        <v>0</v>
      </c>
      <c r="C3" s="153">
        <v>2021</v>
      </c>
      <c r="D3" s="153">
        <f t="shared" ref="D3:G3" si="0">C3+1</f>
        <v>2022</v>
      </c>
      <c r="E3" s="153">
        <f t="shared" si="0"/>
        <v>2023</v>
      </c>
      <c r="F3" s="153">
        <f t="shared" si="0"/>
        <v>2024</v>
      </c>
      <c r="G3" s="153">
        <f t="shared" si="0"/>
        <v>2025</v>
      </c>
      <c r="H3" s="154" t="s">
        <v>179</v>
      </c>
      <c r="I3" s="226" t="str">
        <f>CONCATENATE(G3," vs. ",F3)</f>
        <v>2025 vs. 2024</v>
      </c>
      <c r="J3" s="226"/>
      <c r="K3" s="226"/>
    </row>
    <row r="4" spans="2:11" x14ac:dyDescent="0.25">
      <c r="B4" s="113" t="s">
        <v>1</v>
      </c>
      <c r="C4" s="128">
        <v>132497913.65999791</v>
      </c>
      <c r="D4" s="128">
        <v>123886765</v>
      </c>
      <c r="E4" s="128">
        <v>122672069</v>
      </c>
      <c r="F4" s="128">
        <v>126111282</v>
      </c>
      <c r="G4" s="147">
        <v>129959514</v>
      </c>
      <c r="H4" s="148">
        <f t="shared" ref="H4:H39" si="1">G4/$G$19</f>
        <v>0.50100818829935023</v>
      </c>
      <c r="I4" s="114">
        <f>G4-F4</f>
        <v>3848232</v>
      </c>
      <c r="J4" s="115" t="str">
        <f>IF(G4&gt;F4,"▲",IF(G4=F4,"▬","▼"))</f>
        <v>▲</v>
      </c>
      <c r="K4" s="115">
        <f>G4/F4-100%</f>
        <v>3.0514573628710018E-2</v>
      </c>
    </row>
    <row r="5" spans="2:11" x14ac:dyDescent="0.25">
      <c r="B5" s="113" t="s">
        <v>2</v>
      </c>
      <c r="C5" s="128">
        <v>10894586</v>
      </c>
      <c r="D5" s="128">
        <v>9883738</v>
      </c>
      <c r="E5" s="128">
        <v>10857912</v>
      </c>
      <c r="F5" s="128">
        <v>11909857</v>
      </c>
      <c r="G5" s="147">
        <v>7361452</v>
      </c>
      <c r="H5" s="148">
        <f t="shared" si="1"/>
        <v>2.8379205309836942E-2</v>
      </c>
      <c r="I5" s="114">
        <f t="shared" ref="I5:I7" si="2">G5-F5</f>
        <v>-4548405</v>
      </c>
      <c r="J5" s="115" t="str">
        <f t="shared" ref="J5:J7" si="3">IF(G5&gt;F5,"▲",IF(G5=F5,"▬","▼"))</f>
        <v>▼</v>
      </c>
      <c r="K5" s="115">
        <f t="shared" ref="K5:K7" si="4">G5/F5-100%</f>
        <v>-0.38190257028274988</v>
      </c>
    </row>
    <row r="6" spans="2:11" x14ac:dyDescent="0.25">
      <c r="B6" s="113" t="s">
        <v>139</v>
      </c>
      <c r="C6" s="128">
        <v>143460.56021036324</v>
      </c>
      <c r="D6" s="128">
        <v>143461</v>
      </c>
      <c r="E6" s="128">
        <v>143461</v>
      </c>
      <c r="F6" s="128">
        <v>143461</v>
      </c>
      <c r="G6" s="147">
        <v>143461</v>
      </c>
      <c r="H6" s="148">
        <f t="shared" si="1"/>
        <v>5.5305789848993342E-4</v>
      </c>
      <c r="I6" s="114">
        <f t="shared" si="2"/>
        <v>0</v>
      </c>
      <c r="J6" s="115" t="str">
        <f t="shared" si="3"/>
        <v>▬</v>
      </c>
      <c r="K6" s="115">
        <f t="shared" si="4"/>
        <v>0</v>
      </c>
    </row>
    <row r="7" spans="2:11" x14ac:dyDescent="0.25">
      <c r="B7" s="113" t="s">
        <v>140</v>
      </c>
      <c r="C7" s="128">
        <v>298466.16272727284</v>
      </c>
      <c r="D7" s="128">
        <v>329100</v>
      </c>
      <c r="E7" s="128">
        <v>802899</v>
      </c>
      <c r="F7" s="128">
        <v>541353</v>
      </c>
      <c r="G7" s="147">
        <v>333834</v>
      </c>
      <c r="H7" s="148">
        <f t="shared" si="1"/>
        <v>1.2869667051288395E-3</v>
      </c>
      <c r="I7" s="114">
        <f t="shared" si="2"/>
        <v>-207519</v>
      </c>
      <c r="J7" s="115" t="str">
        <f t="shared" si="3"/>
        <v>▼</v>
      </c>
      <c r="K7" s="115">
        <f t="shared" si="4"/>
        <v>-0.38333397986156903</v>
      </c>
    </row>
    <row r="8" spans="2:11" x14ac:dyDescent="0.25">
      <c r="B8" s="113" t="s">
        <v>141</v>
      </c>
      <c r="C8" s="128">
        <v>23324616.914013024</v>
      </c>
      <c r="D8" s="128">
        <v>0</v>
      </c>
      <c r="E8" s="128">
        <v>0</v>
      </c>
      <c r="F8" s="128">
        <v>0</v>
      </c>
      <c r="G8" s="147">
        <v>0</v>
      </c>
      <c r="H8" s="148">
        <f t="shared" si="1"/>
        <v>0</v>
      </c>
      <c r="I8" s="114">
        <f t="shared" ref="I8:I39" si="5">G8-F8</f>
        <v>0</v>
      </c>
      <c r="J8" s="115" t="str">
        <f t="shared" ref="J8:J39" si="6">IF(G8&gt;F8,"▲",IF(G8=F8,"▬","▼"))</f>
        <v>▬</v>
      </c>
      <c r="K8" s="115" t="e">
        <f t="shared" ref="K8:K39" si="7">G8/F8-100%</f>
        <v>#DIV/0!</v>
      </c>
    </row>
    <row r="9" spans="2:11" x14ac:dyDescent="0.25">
      <c r="B9" s="113" t="s">
        <v>142</v>
      </c>
      <c r="C9" s="128">
        <v>196974.40000000037</v>
      </c>
      <c r="D9" s="128">
        <v>297974</v>
      </c>
      <c r="E9" s="128">
        <v>297974</v>
      </c>
      <c r="F9" s="128">
        <v>297974</v>
      </c>
      <c r="G9" s="147">
        <v>292974</v>
      </c>
      <c r="H9" s="148">
        <f t="shared" si="1"/>
        <v>1.1294469211297132E-3</v>
      </c>
      <c r="I9" s="114"/>
      <c r="J9" s="115"/>
      <c r="K9" s="115"/>
    </row>
    <row r="10" spans="2:11" ht="15" thickBot="1" x14ac:dyDescent="0.3">
      <c r="B10" s="113" t="s">
        <v>143</v>
      </c>
      <c r="C10" s="128">
        <v>0</v>
      </c>
      <c r="D10" s="128">
        <v>1898</v>
      </c>
      <c r="E10" s="128">
        <v>0</v>
      </c>
      <c r="F10" s="128">
        <v>0</v>
      </c>
      <c r="G10" s="147">
        <v>0</v>
      </c>
      <c r="H10" s="148">
        <f t="shared" si="1"/>
        <v>0</v>
      </c>
      <c r="I10" s="114">
        <f t="shared" si="5"/>
        <v>0</v>
      </c>
      <c r="J10" s="115" t="str">
        <f t="shared" si="6"/>
        <v>▬</v>
      </c>
      <c r="K10" s="115" t="e">
        <f t="shared" si="7"/>
        <v>#DIV/0!</v>
      </c>
    </row>
    <row r="11" spans="2:11" ht="15" thickBot="1" x14ac:dyDescent="0.3">
      <c r="B11" s="116" t="s">
        <v>3</v>
      </c>
      <c r="C11" s="129">
        <f t="shared" ref="C11:G11" si="8">SUM(C4:C10)</f>
        <v>167356017.69694859</v>
      </c>
      <c r="D11" s="129">
        <f t="shared" si="8"/>
        <v>134542936</v>
      </c>
      <c r="E11" s="129">
        <f t="shared" si="8"/>
        <v>134774315</v>
      </c>
      <c r="F11" s="129">
        <f t="shared" si="8"/>
        <v>139003927</v>
      </c>
      <c r="G11" s="149">
        <f t="shared" si="8"/>
        <v>138091235</v>
      </c>
      <c r="H11" s="150">
        <f>G11/$G$19</f>
        <v>0.53235686513393565</v>
      </c>
      <c r="I11" s="117">
        <f t="shared" si="5"/>
        <v>-912692</v>
      </c>
      <c r="J11" s="118" t="str">
        <f t="shared" si="6"/>
        <v>▼</v>
      </c>
      <c r="K11" s="118">
        <f t="shared" si="7"/>
        <v>-6.5659439966757605E-3</v>
      </c>
    </row>
    <row r="12" spans="2:11" x14ac:dyDescent="0.25">
      <c r="B12" s="113" t="s">
        <v>144</v>
      </c>
      <c r="C12" s="128">
        <v>54803658.57558158</v>
      </c>
      <c r="D12" s="128">
        <v>65899751</v>
      </c>
      <c r="E12" s="128">
        <v>59716567</v>
      </c>
      <c r="F12" s="128">
        <v>64110951</v>
      </c>
      <c r="G12" s="147">
        <v>50826686</v>
      </c>
      <c r="H12" s="148">
        <f t="shared" si="1"/>
        <v>0.19594245227879162</v>
      </c>
      <c r="I12" s="114">
        <f t="shared" si="5"/>
        <v>-13284265</v>
      </c>
      <c r="J12" s="115" t="str">
        <f t="shared" si="6"/>
        <v>▼</v>
      </c>
      <c r="K12" s="115">
        <f t="shared" si="7"/>
        <v>-0.20720742389237057</v>
      </c>
    </row>
    <row r="13" spans="2:11" x14ac:dyDescent="0.25">
      <c r="B13" s="113" t="s">
        <v>145</v>
      </c>
      <c r="C13" s="128">
        <v>53054233.585505947</v>
      </c>
      <c r="D13" s="128">
        <v>60979526</v>
      </c>
      <c r="E13" s="128">
        <v>60437183</v>
      </c>
      <c r="F13" s="128">
        <v>54097088</v>
      </c>
      <c r="G13" s="147">
        <v>44933367</v>
      </c>
      <c r="H13" s="148">
        <f t="shared" si="1"/>
        <v>0.17322306079768665</v>
      </c>
      <c r="I13" s="114">
        <f t="shared" si="5"/>
        <v>-9163721</v>
      </c>
      <c r="J13" s="115" t="str">
        <f t="shared" si="6"/>
        <v>▼</v>
      </c>
      <c r="K13" s="115">
        <f t="shared" si="7"/>
        <v>-0.16939397921011945</v>
      </c>
    </row>
    <row r="14" spans="2:11" x14ac:dyDescent="0.25">
      <c r="B14" s="113" t="s">
        <v>136</v>
      </c>
      <c r="C14" s="128">
        <v>617901.78</v>
      </c>
      <c r="D14" s="128">
        <v>263414</v>
      </c>
      <c r="E14" s="128">
        <v>2833298</v>
      </c>
      <c r="F14" s="128">
        <v>2621744</v>
      </c>
      <c r="G14" s="147">
        <v>1284301</v>
      </c>
      <c r="H14" s="148">
        <f t="shared" si="1"/>
        <v>4.951121294906072E-3</v>
      </c>
      <c r="I14" s="114">
        <f t="shared" si="5"/>
        <v>-1337443</v>
      </c>
      <c r="J14" s="115" t="str">
        <f t="shared" si="6"/>
        <v>▼</v>
      </c>
      <c r="K14" s="115">
        <f t="shared" si="7"/>
        <v>-0.5101348567976125</v>
      </c>
    </row>
    <row r="15" spans="2:11" x14ac:dyDescent="0.25">
      <c r="B15" s="113" t="s">
        <v>146</v>
      </c>
      <c r="C15" s="128">
        <v>4621551.3065499999</v>
      </c>
      <c r="D15" s="128">
        <v>4796687</v>
      </c>
      <c r="E15" s="128">
        <v>1093312</v>
      </c>
      <c r="F15" s="128">
        <v>1156150</v>
      </c>
      <c r="G15" s="147">
        <v>626762</v>
      </c>
      <c r="H15" s="148">
        <f t="shared" si="1"/>
        <v>2.4162362912104871E-3</v>
      </c>
      <c r="I15" s="114">
        <f t="shared" ref="I15" si="9">G15-F15</f>
        <v>-529388</v>
      </c>
      <c r="J15" s="115" t="str">
        <f t="shared" ref="J15" si="10">IF(G15&gt;F15,"▲",IF(G15=F15,"▬","▼"))</f>
        <v>▼</v>
      </c>
      <c r="K15" s="115"/>
    </row>
    <row r="16" spans="2:11" x14ac:dyDescent="0.25">
      <c r="B16" s="113" t="s">
        <v>147</v>
      </c>
      <c r="C16" s="128">
        <v>17596892.999122001</v>
      </c>
      <c r="D16" s="128">
        <v>73869061</v>
      </c>
      <c r="E16" s="128">
        <v>33716158</v>
      </c>
      <c r="F16" s="128">
        <v>14353306</v>
      </c>
      <c r="G16" s="147">
        <v>23633637</v>
      </c>
      <c r="H16" s="148">
        <f t="shared" si="1"/>
        <v>9.1110264203469488E-2</v>
      </c>
      <c r="I16" s="114">
        <f t="shared" si="5"/>
        <v>9280331</v>
      </c>
      <c r="J16" s="115" t="str">
        <f t="shared" si="6"/>
        <v>▲</v>
      </c>
      <c r="K16" s="115">
        <f t="shared" si="7"/>
        <v>0.64656400413953419</v>
      </c>
    </row>
    <row r="17" spans="2:11" ht="15" thickBot="1" x14ac:dyDescent="0.3">
      <c r="B17" s="113" t="s">
        <v>148</v>
      </c>
      <c r="C17" s="128">
        <v>3760155</v>
      </c>
      <c r="D17" s="128">
        <v>3760155</v>
      </c>
      <c r="E17" s="128">
        <v>0</v>
      </c>
      <c r="F17" s="128">
        <v>0</v>
      </c>
      <c r="G17" s="147">
        <v>0</v>
      </c>
      <c r="H17" s="148">
        <f t="shared" si="1"/>
        <v>0</v>
      </c>
      <c r="I17" s="114">
        <f t="shared" si="5"/>
        <v>0</v>
      </c>
      <c r="J17" s="115" t="str">
        <f t="shared" si="6"/>
        <v>▬</v>
      </c>
      <c r="K17" s="115" t="e">
        <f t="shared" si="7"/>
        <v>#DIV/0!</v>
      </c>
    </row>
    <row r="18" spans="2:11" ht="15" thickBot="1" x14ac:dyDescent="0.3">
      <c r="B18" s="116" t="s">
        <v>4</v>
      </c>
      <c r="C18" s="129">
        <f t="shared" ref="C18:G18" si="11">SUM(C12:C17)</f>
        <v>134454393.24675953</v>
      </c>
      <c r="D18" s="129">
        <f t="shared" si="11"/>
        <v>209568594</v>
      </c>
      <c r="E18" s="129">
        <f t="shared" si="11"/>
        <v>157796518</v>
      </c>
      <c r="F18" s="129">
        <f t="shared" si="11"/>
        <v>136339239</v>
      </c>
      <c r="G18" s="149">
        <f t="shared" si="11"/>
        <v>121304753</v>
      </c>
      <c r="H18" s="150">
        <f t="shared" si="1"/>
        <v>0.46764313486606429</v>
      </c>
      <c r="I18" s="117">
        <f t="shared" si="5"/>
        <v>-15034486</v>
      </c>
      <c r="J18" s="118" t="str">
        <f t="shared" si="6"/>
        <v>▼</v>
      </c>
      <c r="K18" s="118">
        <f t="shared" si="7"/>
        <v>-0.11027262665005777</v>
      </c>
    </row>
    <row r="19" spans="2:11" ht="15" thickBot="1" x14ac:dyDescent="0.3">
      <c r="B19" s="116" t="s">
        <v>5</v>
      </c>
      <c r="C19" s="129">
        <f t="shared" ref="C19:G19" si="12">C11+C18</f>
        <v>301810410.94370812</v>
      </c>
      <c r="D19" s="129">
        <f t="shared" si="12"/>
        <v>344111530</v>
      </c>
      <c r="E19" s="129">
        <f t="shared" si="12"/>
        <v>292570833</v>
      </c>
      <c r="F19" s="129">
        <f t="shared" si="12"/>
        <v>275343166</v>
      </c>
      <c r="G19" s="149">
        <f t="shared" si="12"/>
        <v>259395988</v>
      </c>
      <c r="H19" s="150">
        <f t="shared" si="1"/>
        <v>1</v>
      </c>
      <c r="I19" s="117">
        <f>G19-F19</f>
        <v>-15947178</v>
      </c>
      <c r="J19" s="118" t="str">
        <f t="shared" si="6"/>
        <v>▼</v>
      </c>
      <c r="K19" s="118">
        <f t="shared" si="7"/>
        <v>-5.7917464347017833E-2</v>
      </c>
    </row>
    <row r="20" spans="2:11" x14ac:dyDescent="0.25">
      <c r="B20" s="113" t="s">
        <v>6</v>
      </c>
      <c r="C20" s="128">
        <v>26412210.343440004</v>
      </c>
      <c r="D20" s="128">
        <v>26412210</v>
      </c>
      <c r="E20" s="128">
        <v>52824419</v>
      </c>
      <c r="F20" s="128">
        <v>52824419</v>
      </c>
      <c r="G20" s="147">
        <v>52824419</v>
      </c>
      <c r="H20" s="148">
        <f t="shared" si="1"/>
        <v>0.20364393222612218</v>
      </c>
      <c r="I20" s="114">
        <f t="shared" si="5"/>
        <v>0</v>
      </c>
      <c r="J20" s="115" t="str">
        <f t="shared" si="6"/>
        <v>▬</v>
      </c>
      <c r="K20" s="115">
        <f t="shared" si="7"/>
        <v>0</v>
      </c>
    </row>
    <row r="21" spans="2:11" x14ac:dyDescent="0.25">
      <c r="B21" s="113" t="s">
        <v>7</v>
      </c>
      <c r="C21" s="128">
        <v>2182283</v>
      </c>
      <c r="D21" s="128">
        <v>2182283</v>
      </c>
      <c r="E21" s="128">
        <v>2182283</v>
      </c>
      <c r="F21" s="128">
        <v>2182283</v>
      </c>
      <c r="G21" s="147">
        <v>2182283</v>
      </c>
      <c r="H21" s="148">
        <f t="shared" si="1"/>
        <v>8.4129404499502132E-3</v>
      </c>
      <c r="I21" s="114">
        <f t="shared" si="5"/>
        <v>0</v>
      </c>
      <c r="J21" s="115" t="str">
        <f t="shared" si="6"/>
        <v>▬</v>
      </c>
      <c r="K21" s="115">
        <f t="shared" si="7"/>
        <v>0</v>
      </c>
    </row>
    <row r="22" spans="2:11" x14ac:dyDescent="0.25">
      <c r="B22" s="113" t="s">
        <v>149</v>
      </c>
      <c r="C22" s="128">
        <v>60227359.809163399</v>
      </c>
      <c r="D22" s="128">
        <v>62917677</v>
      </c>
      <c r="E22" s="128">
        <v>65302625</v>
      </c>
      <c r="F22" s="128">
        <v>64764622</v>
      </c>
      <c r="G22" s="147">
        <v>64230524</v>
      </c>
      <c r="H22" s="148">
        <f t="shared" si="1"/>
        <v>0.24761571871342899</v>
      </c>
      <c r="I22" s="114">
        <f t="shared" si="5"/>
        <v>-534098</v>
      </c>
      <c r="J22" s="115" t="str">
        <f t="shared" si="6"/>
        <v>▼</v>
      </c>
      <c r="K22" s="115">
        <f t="shared" si="7"/>
        <v>-8.2467554585587965E-3</v>
      </c>
    </row>
    <row r="23" spans="2:11" x14ac:dyDescent="0.25">
      <c r="B23" s="113" t="s">
        <v>8</v>
      </c>
      <c r="C23" s="128">
        <v>49182732.063599013</v>
      </c>
      <c r="D23" s="128">
        <v>77247165</v>
      </c>
      <c r="E23" s="128">
        <v>30821626</v>
      </c>
      <c r="F23" s="128">
        <v>18532859</v>
      </c>
      <c r="G23" s="147">
        <v>17625936</v>
      </c>
      <c r="H23" s="148">
        <f t="shared" si="1"/>
        <v>6.7949917560020237E-2</v>
      </c>
      <c r="I23" s="114">
        <f t="shared" si="5"/>
        <v>-906923</v>
      </c>
      <c r="J23" s="115" t="str">
        <f t="shared" si="6"/>
        <v>▼</v>
      </c>
      <c r="K23" s="115">
        <f t="shared" si="7"/>
        <v>-4.8935946687988063E-2</v>
      </c>
    </row>
    <row r="24" spans="2:11" x14ac:dyDescent="0.25">
      <c r="B24" s="119" t="s">
        <v>101</v>
      </c>
      <c r="C24" s="130">
        <v>138004585.21620241</v>
      </c>
      <c r="D24" s="130">
        <v>168759335</v>
      </c>
      <c r="E24" s="130">
        <v>151130953</v>
      </c>
      <c r="F24" s="130">
        <v>138304183</v>
      </c>
      <c r="G24" s="151">
        <v>136863162</v>
      </c>
      <c r="H24" s="215">
        <f t="shared" si="1"/>
        <v>0.52762250894952156</v>
      </c>
      <c r="I24" s="114">
        <f t="shared" si="5"/>
        <v>-1441021</v>
      </c>
      <c r="J24" s="115" t="str">
        <f t="shared" si="6"/>
        <v>▼</v>
      </c>
      <c r="K24" s="115">
        <f t="shared" si="7"/>
        <v>-1.0419214869300086E-2</v>
      </c>
    </row>
    <row r="25" spans="2:11" ht="15" thickBot="1" x14ac:dyDescent="0.3">
      <c r="B25" s="113" t="s">
        <v>150</v>
      </c>
      <c r="C25" s="128">
        <v>915580.80087402463</v>
      </c>
      <c r="D25" s="128">
        <v>920916</v>
      </c>
      <c r="E25" s="128">
        <v>913851</v>
      </c>
      <c r="F25" s="128">
        <v>906602</v>
      </c>
      <c r="G25" s="147">
        <v>905902</v>
      </c>
      <c r="H25" s="148">
        <f t="shared" si="1"/>
        <v>3.4923516241893455E-3</v>
      </c>
      <c r="I25" s="114">
        <f t="shared" si="5"/>
        <v>-700</v>
      </c>
      <c r="J25" s="115" t="str">
        <f t="shared" si="6"/>
        <v>▼</v>
      </c>
      <c r="K25" s="115">
        <f t="shared" si="7"/>
        <v>-7.7211389341735881E-4</v>
      </c>
    </row>
    <row r="26" spans="2:11" ht="15" thickBot="1" x14ac:dyDescent="0.3">
      <c r="B26" s="116" t="s">
        <v>9</v>
      </c>
      <c r="C26" s="129">
        <f t="shared" ref="C26:D26" si="13">C24+C25</f>
        <v>138920166.01707643</v>
      </c>
      <c r="D26" s="129">
        <f t="shared" si="13"/>
        <v>169680251</v>
      </c>
      <c r="E26" s="129">
        <f>E24+E25</f>
        <v>152044804</v>
      </c>
      <c r="F26" s="129">
        <f>F24+F25</f>
        <v>139210785</v>
      </c>
      <c r="G26" s="149">
        <f>G24+G25</f>
        <v>137769064</v>
      </c>
      <c r="H26" s="150">
        <f t="shared" si="1"/>
        <v>0.53111486057371093</v>
      </c>
      <c r="I26" s="117">
        <f t="shared" si="5"/>
        <v>-1441721</v>
      </c>
      <c r="J26" s="118" t="str">
        <f t="shared" si="6"/>
        <v>▼</v>
      </c>
      <c r="K26" s="118">
        <f t="shared" si="7"/>
        <v>-1.0356388695028196E-2</v>
      </c>
    </row>
    <row r="27" spans="2:11" x14ac:dyDescent="0.25">
      <c r="B27" s="113" t="s">
        <v>151</v>
      </c>
      <c r="C27" s="128">
        <v>659623</v>
      </c>
      <c r="D27" s="128">
        <v>1429017</v>
      </c>
      <c r="E27" s="128">
        <v>1803188</v>
      </c>
      <c r="F27" s="128">
        <v>1770513</v>
      </c>
      <c r="G27" s="147">
        <v>1641891</v>
      </c>
      <c r="H27" s="148">
        <f t="shared" si="1"/>
        <v>6.3296699870315654E-3</v>
      </c>
      <c r="I27" s="114">
        <f t="shared" si="5"/>
        <v>-128622</v>
      </c>
      <c r="J27" s="115" t="str">
        <f t="shared" si="6"/>
        <v>▼</v>
      </c>
      <c r="K27" s="115">
        <f t="shared" si="7"/>
        <v>-7.2646741368179724E-2</v>
      </c>
    </row>
    <row r="28" spans="2:11" x14ac:dyDescent="0.25">
      <c r="B28" s="120" t="s">
        <v>10</v>
      </c>
      <c r="C28" s="128">
        <v>8012574</v>
      </c>
      <c r="D28" s="128">
        <v>7780659</v>
      </c>
      <c r="E28" s="128">
        <v>7477700</v>
      </c>
      <c r="F28" s="128">
        <v>5637270</v>
      </c>
      <c r="G28" s="147">
        <v>5528204</v>
      </c>
      <c r="H28" s="148">
        <f t="shared" si="1"/>
        <v>2.1311833088181766E-2</v>
      </c>
      <c r="I28" s="114">
        <f t="shared" si="5"/>
        <v>-109066</v>
      </c>
      <c r="J28" s="115" t="str">
        <f t="shared" si="6"/>
        <v>▼</v>
      </c>
      <c r="K28" s="115">
        <f t="shared" si="7"/>
        <v>-1.9347308182861567E-2</v>
      </c>
    </row>
    <row r="29" spans="2:11" x14ac:dyDescent="0.25">
      <c r="B29" s="113" t="s">
        <v>152</v>
      </c>
      <c r="C29" s="128">
        <v>7623546.7200000007</v>
      </c>
      <c r="D29" s="128">
        <v>4044764</v>
      </c>
      <c r="E29" s="128">
        <v>7409934</v>
      </c>
      <c r="F29" s="128">
        <v>129900</v>
      </c>
      <c r="G29" s="147">
        <v>3437146</v>
      </c>
      <c r="H29" s="148">
        <f t="shared" si="1"/>
        <v>1.3250575024313791E-2</v>
      </c>
      <c r="I29" s="114">
        <f t="shared" si="5"/>
        <v>3307246</v>
      </c>
      <c r="J29" s="115" t="str">
        <f t="shared" si="6"/>
        <v>▲</v>
      </c>
      <c r="K29" s="115">
        <f t="shared" si="7"/>
        <v>25.459938414164743</v>
      </c>
    </row>
    <row r="30" spans="2:11" x14ac:dyDescent="0.25">
      <c r="B30" s="113" t="s">
        <v>313</v>
      </c>
      <c r="C30" s="128">
        <v>16015574.9</v>
      </c>
      <c r="D30" s="128">
        <v>13384594</v>
      </c>
      <c r="E30" s="128">
        <v>9784375</v>
      </c>
      <c r="F30" s="128">
        <v>9353314</v>
      </c>
      <c r="G30" s="147">
        <v>5856674</v>
      </c>
      <c r="H30" s="148">
        <f t="shared" si="1"/>
        <v>2.2578120984662262E-2</v>
      </c>
      <c r="I30" s="114">
        <f t="shared" ref="I30" si="14">G30-F30</f>
        <v>-3496640</v>
      </c>
      <c r="J30" s="115" t="str">
        <f t="shared" ref="J30" si="15">IF(G30&gt;F30,"▲",IF(G30=F30,"▬","▼"))</f>
        <v>▼</v>
      </c>
      <c r="K30" s="115">
        <f t="shared" ref="K30" si="16">G30/F30-100%</f>
        <v>-0.37383968933364153</v>
      </c>
    </row>
    <row r="31" spans="2:11" ht="15" thickBot="1" x14ac:dyDescent="0.3">
      <c r="B31" s="113" t="s">
        <v>153</v>
      </c>
      <c r="C31" s="128">
        <v>0</v>
      </c>
      <c r="D31" s="128">
        <v>0</v>
      </c>
      <c r="E31" s="128">
        <v>0</v>
      </c>
      <c r="F31" s="128">
        <v>0</v>
      </c>
      <c r="G31" s="147">
        <v>0</v>
      </c>
      <c r="H31" s="148">
        <f t="shared" si="1"/>
        <v>0</v>
      </c>
      <c r="I31" s="114">
        <f t="shared" si="5"/>
        <v>0</v>
      </c>
      <c r="J31" s="115" t="str">
        <f t="shared" si="6"/>
        <v>▬</v>
      </c>
      <c r="K31" s="115" t="e">
        <f t="shared" si="7"/>
        <v>#DIV/0!</v>
      </c>
    </row>
    <row r="32" spans="2:11" ht="15" thickBot="1" x14ac:dyDescent="0.3">
      <c r="B32" s="116" t="s">
        <v>11</v>
      </c>
      <c r="C32" s="129">
        <f t="shared" ref="C32:D32" si="17">SUM(C27:C31)</f>
        <v>32311318.620000001</v>
      </c>
      <c r="D32" s="129">
        <f t="shared" si="17"/>
        <v>26639034</v>
      </c>
      <c r="E32" s="129">
        <f t="shared" ref="C32:G32" si="18">SUM(E27:E31)</f>
        <v>26475197</v>
      </c>
      <c r="F32" s="129">
        <f t="shared" si="18"/>
        <v>16890997</v>
      </c>
      <c r="G32" s="149">
        <f t="shared" si="18"/>
        <v>16463915</v>
      </c>
      <c r="H32" s="150">
        <f t="shared" si="1"/>
        <v>6.3470199084189383E-2</v>
      </c>
      <c r="I32" s="117">
        <f t="shared" si="5"/>
        <v>-427082</v>
      </c>
      <c r="J32" s="118" t="str">
        <f t="shared" si="6"/>
        <v>▼</v>
      </c>
      <c r="K32" s="118">
        <f t="shared" si="7"/>
        <v>-2.5284593917102693E-2</v>
      </c>
    </row>
    <row r="33" spans="2:11" x14ac:dyDescent="0.25">
      <c r="B33" s="113" t="s">
        <v>154</v>
      </c>
      <c r="C33" s="128">
        <v>55224664.185974844</v>
      </c>
      <c r="D33" s="128">
        <v>63161506</v>
      </c>
      <c r="E33" s="128">
        <v>39045876</v>
      </c>
      <c r="F33" s="128">
        <v>46188413</v>
      </c>
      <c r="G33" s="147">
        <v>34945806</v>
      </c>
      <c r="H33" s="148">
        <f t="shared" si="1"/>
        <v>0.13471991710218742</v>
      </c>
      <c r="I33" s="114">
        <f t="shared" si="5"/>
        <v>-11242607</v>
      </c>
      <c r="J33" s="115" t="str">
        <f t="shared" si="6"/>
        <v>▼</v>
      </c>
      <c r="K33" s="115">
        <f t="shared" si="7"/>
        <v>-0.24340751867789867</v>
      </c>
    </row>
    <row r="34" spans="2:11" x14ac:dyDescent="0.25">
      <c r="B34" s="113" t="s">
        <v>155</v>
      </c>
      <c r="C34" s="128">
        <v>67635179.310000002</v>
      </c>
      <c r="D34" s="128">
        <v>74737029</v>
      </c>
      <c r="E34" s="128">
        <v>65128044</v>
      </c>
      <c r="F34" s="128">
        <v>64209954</v>
      </c>
      <c r="G34" s="147">
        <v>62167692</v>
      </c>
      <c r="H34" s="148">
        <f t="shared" si="1"/>
        <v>0.23966327497709794</v>
      </c>
      <c r="I34" s="114">
        <f t="shared" si="5"/>
        <v>-2042262</v>
      </c>
      <c r="J34" s="115" t="str">
        <f t="shared" si="6"/>
        <v>▼</v>
      </c>
      <c r="K34" s="115">
        <f t="shared" si="7"/>
        <v>-3.1806003162687224E-2</v>
      </c>
    </row>
    <row r="35" spans="2:11" x14ac:dyDescent="0.25">
      <c r="B35" s="113" t="s">
        <v>314</v>
      </c>
      <c r="C35" s="128">
        <v>3745691.8</v>
      </c>
      <c r="D35" s="128">
        <v>3600219</v>
      </c>
      <c r="E35" s="128">
        <v>3600219</v>
      </c>
      <c r="F35" s="128">
        <v>3021683</v>
      </c>
      <c r="G35" s="147">
        <v>2493279</v>
      </c>
      <c r="H35" s="148">
        <f t="shared" si="1"/>
        <v>9.6118641588242293E-3</v>
      </c>
      <c r="I35" s="114">
        <f t="shared" ref="I35" si="19">G35-F35</f>
        <v>-528404</v>
      </c>
      <c r="J35" s="115" t="str">
        <f t="shared" ref="J35" si="20">IF(G35&gt;F35,"▲",IF(G35=F35,"▬","▼"))</f>
        <v>▼</v>
      </c>
      <c r="K35" s="115">
        <f t="shared" ref="K35" si="21">G35/F35-100%</f>
        <v>-0.1748707591100721</v>
      </c>
    </row>
    <row r="36" spans="2:11" ht="15" thickBot="1" x14ac:dyDescent="0.3">
      <c r="B36" s="119" t="s">
        <v>156</v>
      </c>
      <c r="C36" s="128">
        <v>3973391.4158749999</v>
      </c>
      <c r="D36" s="128">
        <v>6293491</v>
      </c>
      <c r="E36" s="128">
        <v>6276693</v>
      </c>
      <c r="F36" s="128">
        <v>5821334</v>
      </c>
      <c r="G36" s="147">
        <v>5556232</v>
      </c>
      <c r="H36" s="148">
        <f t="shared" si="1"/>
        <v>2.1419884103990074E-2</v>
      </c>
      <c r="I36" s="114">
        <f t="shared" si="5"/>
        <v>-265102</v>
      </c>
      <c r="J36" s="115" t="str">
        <f t="shared" si="6"/>
        <v>▼</v>
      </c>
      <c r="K36" s="115">
        <f t="shared" si="7"/>
        <v>-4.5539733676164262E-2</v>
      </c>
    </row>
    <row r="37" spans="2:11" ht="15" thickBot="1" x14ac:dyDescent="0.3">
      <c r="B37" s="116" t="s">
        <v>12</v>
      </c>
      <c r="C37" s="129">
        <f t="shared" ref="C37:G37" si="22">SUM(C33:C36)</f>
        <v>130578926.71184984</v>
      </c>
      <c r="D37" s="129">
        <f t="shared" si="22"/>
        <v>147792245</v>
      </c>
      <c r="E37" s="129">
        <f t="shared" si="22"/>
        <v>114050832</v>
      </c>
      <c r="F37" s="129">
        <f t="shared" si="22"/>
        <v>119241384</v>
      </c>
      <c r="G37" s="149">
        <f t="shared" si="22"/>
        <v>105163009</v>
      </c>
      <c r="H37" s="150">
        <f t="shared" si="1"/>
        <v>0.40541494034209968</v>
      </c>
      <c r="I37" s="117">
        <f t="shared" si="5"/>
        <v>-14078375</v>
      </c>
      <c r="J37" s="118" t="str">
        <f t="shared" si="6"/>
        <v>▼</v>
      </c>
      <c r="K37" s="118">
        <f t="shared" si="7"/>
        <v>-0.11806618245893552</v>
      </c>
    </row>
    <row r="38" spans="2:11" ht="15" thickBot="1" x14ac:dyDescent="0.3">
      <c r="B38" s="116" t="s">
        <v>13</v>
      </c>
      <c r="C38" s="129">
        <f t="shared" ref="C38:G38" si="23">C37+C32</f>
        <v>162890245.33184984</v>
      </c>
      <c r="D38" s="129">
        <f t="shared" si="23"/>
        <v>174431279</v>
      </c>
      <c r="E38" s="129">
        <f t="shared" si="23"/>
        <v>140526029</v>
      </c>
      <c r="F38" s="129">
        <f t="shared" si="23"/>
        <v>136132381</v>
      </c>
      <c r="G38" s="149">
        <f t="shared" si="23"/>
        <v>121626924</v>
      </c>
      <c r="H38" s="150">
        <f t="shared" si="1"/>
        <v>0.46888513942628907</v>
      </c>
      <c r="I38" s="117">
        <f t="shared" si="5"/>
        <v>-14505457</v>
      </c>
      <c r="J38" s="118" t="str">
        <f t="shared" si="6"/>
        <v>▼</v>
      </c>
      <c r="K38" s="118">
        <f t="shared" si="7"/>
        <v>-0.10655405344008495</v>
      </c>
    </row>
    <row r="39" spans="2:11" ht="15" thickBot="1" x14ac:dyDescent="0.3">
      <c r="B39" s="116" t="s">
        <v>14</v>
      </c>
      <c r="C39" s="129">
        <f t="shared" ref="C39:G39" si="24">C38+C26</f>
        <v>301810411.34892631</v>
      </c>
      <c r="D39" s="129">
        <f t="shared" si="24"/>
        <v>344111530</v>
      </c>
      <c r="E39" s="129">
        <f t="shared" si="24"/>
        <v>292570833</v>
      </c>
      <c r="F39" s="129">
        <f t="shared" si="24"/>
        <v>275343166</v>
      </c>
      <c r="G39" s="149">
        <f t="shared" si="24"/>
        <v>259395988</v>
      </c>
      <c r="H39" s="150">
        <f t="shared" si="1"/>
        <v>1</v>
      </c>
      <c r="I39" s="117">
        <f t="shared" si="5"/>
        <v>-15947178</v>
      </c>
      <c r="J39" s="118" t="str">
        <f t="shared" si="6"/>
        <v>▼</v>
      </c>
      <c r="K39" s="118">
        <f t="shared" si="7"/>
        <v>-5.7917464347017833E-2</v>
      </c>
    </row>
    <row r="40" spans="2:11" x14ac:dyDescent="0.25">
      <c r="B40" s="121"/>
      <c r="C40" s="122">
        <f>C39-C19</f>
        <v>0.40521818399429321</v>
      </c>
      <c r="D40" s="122">
        <f>D39-D19</f>
        <v>0</v>
      </c>
      <c r="E40" s="122">
        <f>E39-E19</f>
        <v>0</v>
      </c>
      <c r="F40" s="122">
        <f>F39-F19</f>
        <v>0</v>
      </c>
      <c r="G40" s="122">
        <f>G39-G19</f>
        <v>0</v>
      </c>
    </row>
    <row r="41" spans="2:11" x14ac:dyDescent="0.25">
      <c r="B41" s="121" t="s">
        <v>24</v>
      </c>
    </row>
    <row r="44" spans="2:11" x14ac:dyDescent="0.25">
      <c r="C44" s="133"/>
      <c r="D44" s="133"/>
      <c r="E44" s="133"/>
      <c r="F44" s="133"/>
      <c r="G44" s="133"/>
    </row>
  </sheetData>
  <mergeCells count="1">
    <mergeCell ref="I3:K3"/>
  </mergeCells>
  <conditionalFormatting sqref="J4:J19">
    <cfRule type="expression" dxfId="20" priority="1">
      <formula>G4=F4</formula>
    </cfRule>
    <cfRule type="expression" dxfId="19" priority="2">
      <formula>G4&lt;F4</formula>
    </cfRule>
    <cfRule type="expression" dxfId="18" priority="3">
      <formula>G4&gt;F4</formula>
    </cfRule>
  </conditionalFormatting>
  <conditionalFormatting sqref="J20:J25">
    <cfRule type="expression" dxfId="17" priority="40">
      <formula>G20=F20</formula>
    </cfRule>
    <cfRule type="expression" dxfId="16" priority="41">
      <formula>G20&lt;F20</formula>
    </cfRule>
    <cfRule type="expression" dxfId="15" priority="42">
      <formula>G20&gt;F20</formula>
    </cfRule>
  </conditionalFormatting>
  <conditionalFormatting sqref="J24">
    <cfRule type="expression" dxfId="14" priority="22">
      <formula>G24=F24</formula>
    </cfRule>
    <cfRule type="expression" dxfId="13" priority="23">
      <formula>G24&lt;F24</formula>
    </cfRule>
    <cfRule type="expression" dxfId="12" priority="24">
      <formula>G24&gt;F24</formula>
    </cfRule>
  </conditionalFormatting>
  <conditionalFormatting sqref="J26:J31">
    <cfRule type="expression" dxfId="11" priority="10">
      <formula>G26=F26</formula>
    </cfRule>
    <cfRule type="expression" dxfId="10" priority="11">
      <formula>G26&lt;F26</formula>
    </cfRule>
    <cfRule type="expression" dxfId="9" priority="12">
      <formula>G26&gt;F26</formula>
    </cfRule>
  </conditionalFormatting>
  <conditionalFormatting sqref="J31:J39">
    <cfRule type="expression" dxfId="8" priority="4">
      <formula>G31=F31</formula>
    </cfRule>
    <cfRule type="expression" dxfId="7" priority="5">
      <formula>G31&lt;F31</formula>
    </cfRule>
    <cfRule type="expression" dxfId="6" priority="6">
      <formula>G31&gt;F31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57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55" sqref="U55"/>
    </sheetView>
  </sheetViews>
  <sheetFormatPr defaultColWidth="9.140625" defaultRowHeight="15.75" x14ac:dyDescent="0.25"/>
  <cols>
    <col min="1" max="1" width="2.5703125" style="62" customWidth="1"/>
    <col min="2" max="2" width="84.140625" style="62" customWidth="1"/>
    <col min="3" max="3" width="15.42578125" style="62" bestFit="1" customWidth="1"/>
    <col min="4" max="4" width="14.85546875" style="62" bestFit="1" customWidth="1"/>
    <col min="5" max="5" width="14.5703125" style="62" bestFit="1" customWidth="1"/>
    <col min="6" max="7" width="15.140625" style="62" bestFit="1" customWidth="1"/>
    <col min="8" max="8" width="2.85546875" style="62" customWidth="1"/>
    <col min="9" max="9" width="15.5703125" style="62" bestFit="1" customWidth="1"/>
    <col min="10" max="10" width="7.85546875" style="62" bestFit="1" customWidth="1"/>
    <col min="11" max="11" width="1.5703125" style="62" customWidth="1"/>
    <col min="12" max="12" width="8.140625" style="62" customWidth="1"/>
    <col min="13" max="13" width="7.85546875" style="62" bestFit="1" customWidth="1"/>
    <col min="14" max="14" width="7.42578125" style="62" customWidth="1"/>
    <col min="15" max="15" width="6" style="62" bestFit="1" customWidth="1"/>
    <col min="16" max="16" width="7.85546875" style="62" customWidth="1"/>
    <col min="17" max="17" width="4.42578125" style="62" customWidth="1"/>
    <col min="18" max="18" width="9.140625" style="62"/>
    <col min="19" max="19" width="10.85546875" style="62" customWidth="1"/>
    <col min="20" max="20" width="9.140625" style="62" bestFit="1" customWidth="1"/>
    <col min="21" max="16384" width="9.140625" style="62"/>
  </cols>
  <sheetData>
    <row r="1" spans="2:15" x14ac:dyDescent="0.25">
      <c r="C1" s="126"/>
      <c r="D1" s="126"/>
      <c r="E1" s="126"/>
      <c r="F1" s="126"/>
      <c r="G1" s="126"/>
    </row>
    <row r="2" spans="2:15" ht="16.5" thickBot="1" x14ac:dyDescent="0.3">
      <c r="B2" s="58" t="s">
        <v>172</v>
      </c>
      <c r="C2" s="58"/>
      <c r="D2" s="58"/>
      <c r="E2" s="58"/>
      <c r="F2" s="58"/>
      <c r="G2" s="58"/>
      <c r="H2" s="59"/>
      <c r="I2" s="60"/>
      <c r="J2" s="61"/>
    </row>
    <row r="3" spans="2:15" s="63" customFormat="1" ht="25.5" customHeight="1" thickBot="1" x14ac:dyDescent="0.3">
      <c r="B3" s="157" t="s">
        <v>68</v>
      </c>
      <c r="C3" s="158">
        <v>2021</v>
      </c>
      <c r="D3" s="158">
        <f>C3+1</f>
        <v>2022</v>
      </c>
      <c r="E3" s="158">
        <f t="shared" ref="E3:G3" si="0">D3+1</f>
        <v>2023</v>
      </c>
      <c r="F3" s="158">
        <f t="shared" si="0"/>
        <v>2024</v>
      </c>
      <c r="G3" s="158">
        <f t="shared" si="0"/>
        <v>2025</v>
      </c>
      <c r="H3" s="227" t="str">
        <f>CONCATENATE(G3," vs. ",F3)</f>
        <v>2025 vs. 2024</v>
      </c>
      <c r="I3" s="227"/>
      <c r="J3" s="227"/>
    </row>
    <row r="4" spans="2:15" x14ac:dyDescent="0.25">
      <c r="B4" s="64" t="s">
        <v>15</v>
      </c>
      <c r="C4" s="2">
        <v>341319436</v>
      </c>
      <c r="D4" s="2">
        <v>381985677</v>
      </c>
      <c r="E4" s="2">
        <v>304683985</v>
      </c>
      <c r="F4" s="2">
        <v>307315650</v>
      </c>
      <c r="G4" s="160">
        <v>259383195</v>
      </c>
      <c r="H4" s="65" t="str">
        <f>IF(G4+F4&gt;0,IF(G4&gt;F4,"▲",IF(G4=F4,"▬","▼")),IF(G4&gt;F4,"▼",IF(G4=F4,"▬","▲")))</f>
        <v>▼</v>
      </c>
      <c r="I4" s="64">
        <f>G4-F4</f>
        <v>-47932455</v>
      </c>
      <c r="J4" s="74">
        <f>G4/F4-1</f>
        <v>-0.15597140920093067</v>
      </c>
      <c r="O4" s="64"/>
    </row>
    <row r="5" spans="2:15" x14ac:dyDescent="0.25">
      <c r="B5" s="64" t="s">
        <v>157</v>
      </c>
      <c r="C5" s="138">
        <v>4291042</v>
      </c>
      <c r="D5" s="138">
        <v>4287141</v>
      </c>
      <c r="E5" s="138">
        <v>4103607</v>
      </c>
      <c r="F5" s="138">
        <v>3784998</v>
      </c>
      <c r="G5" s="161">
        <v>4357559</v>
      </c>
      <c r="H5" s="65" t="str">
        <f t="shared" ref="H5:H30" si="1">IF(G5+F5&gt;0,IF(G5&gt;F5,"▲",IF(G5=F5,"▬","▼")),IF(G5&gt;F5,"▼",IF(G5=F5,"▬","▲")))</f>
        <v>▲</v>
      </c>
      <c r="I5" s="67">
        <f t="shared" ref="I5:I30" si="2">G5-F5</f>
        <v>572561</v>
      </c>
      <c r="J5" s="74">
        <f t="shared" ref="J5:J29" si="3">G5/F5-1</f>
        <v>0.15127114994512536</v>
      </c>
      <c r="O5" s="64"/>
    </row>
    <row r="6" spans="2:15" x14ac:dyDescent="0.25">
      <c r="B6" s="68" t="s">
        <v>158</v>
      </c>
      <c r="C6" s="138">
        <v>4710208.870000002</v>
      </c>
      <c r="D6" s="138">
        <v>11496807</v>
      </c>
      <c r="E6" s="138">
        <v>2516172</v>
      </c>
      <c r="F6" s="138">
        <v>1269543</v>
      </c>
      <c r="G6" s="161">
        <v>-3154585</v>
      </c>
      <c r="H6" s="65" t="str">
        <f t="shared" si="1"/>
        <v>▲</v>
      </c>
      <c r="I6" s="67">
        <f t="shared" si="2"/>
        <v>-4424128</v>
      </c>
      <c r="J6" s="74">
        <f t="shared" si="3"/>
        <v>-3.4848193405028423</v>
      </c>
      <c r="O6" s="68"/>
    </row>
    <row r="7" spans="2:15" x14ac:dyDescent="0.25">
      <c r="B7" s="68" t="s">
        <v>17</v>
      </c>
      <c r="C7" s="138">
        <v>-235396370.33861625</v>
      </c>
      <c r="D7" s="138">
        <v>-263732961</v>
      </c>
      <c r="E7" s="138">
        <v>-191297563</v>
      </c>
      <c r="F7" s="138">
        <v>-187965972</v>
      </c>
      <c r="G7" s="161">
        <v>-143326529</v>
      </c>
      <c r="H7" s="65" t="str">
        <f t="shared" ref="H7:H10" si="4">IF(G7+F7&gt;0,IF(G7&gt;F7,"▲",IF(G7=F7,"▬","▼")),IF(G7&gt;F7,"▼",IF(G7=F7,"▬","▲")))</f>
        <v>▼</v>
      </c>
      <c r="I7" s="67">
        <f t="shared" ref="I7:I10" si="5">G7-F7</f>
        <v>44639443</v>
      </c>
      <c r="J7" s="74">
        <f t="shared" ref="J7:J10" si="6">G7/F7-1</f>
        <v>-0.2374868308610667</v>
      </c>
      <c r="O7" s="68"/>
    </row>
    <row r="8" spans="2:15" x14ac:dyDescent="0.25">
      <c r="B8" s="68" t="s">
        <v>159</v>
      </c>
      <c r="C8" s="138">
        <v>-73746328.079999998</v>
      </c>
      <c r="D8" s="138">
        <v>-78261063</v>
      </c>
      <c r="E8" s="138">
        <v>-84574383</v>
      </c>
      <c r="F8" s="138">
        <v>-91859461</v>
      </c>
      <c r="G8" s="161">
        <v>-83340200</v>
      </c>
      <c r="H8" s="65" t="str">
        <f t="shared" si="4"/>
        <v>▼</v>
      </c>
      <c r="I8" s="67">
        <f t="shared" si="5"/>
        <v>8519261</v>
      </c>
      <c r="J8" s="74">
        <f t="shared" si="6"/>
        <v>-9.2742336034390638E-2</v>
      </c>
      <c r="O8" s="68"/>
    </row>
    <row r="9" spans="2:15" x14ac:dyDescent="0.25">
      <c r="B9" s="68" t="s">
        <v>18</v>
      </c>
      <c r="C9" s="138">
        <v>-14897798.990000002</v>
      </c>
      <c r="D9" s="138">
        <v>-14538409</v>
      </c>
      <c r="E9" s="138">
        <v>-14320887</v>
      </c>
      <c r="F9" s="138">
        <v>-14627022</v>
      </c>
      <c r="G9" s="161">
        <v>-13083595</v>
      </c>
      <c r="H9" s="65" t="str">
        <f t="shared" si="4"/>
        <v>▼</v>
      </c>
      <c r="I9" s="67">
        <f t="shared" si="5"/>
        <v>1543427</v>
      </c>
      <c r="J9" s="74">
        <f t="shared" si="6"/>
        <v>-0.10551888142371013</v>
      </c>
      <c r="O9" s="68"/>
    </row>
    <row r="10" spans="2:15" x14ac:dyDescent="0.25">
      <c r="B10" s="68" t="s">
        <v>20</v>
      </c>
      <c r="C10" s="138">
        <v>-21382632.819999997</v>
      </c>
      <c r="D10" s="138">
        <v>-30646145</v>
      </c>
      <c r="E10" s="138">
        <v>-27713730</v>
      </c>
      <c r="F10" s="138">
        <v>-27483472</v>
      </c>
      <c r="G10" s="161">
        <v>-22685836</v>
      </c>
      <c r="H10" s="65" t="str">
        <f t="shared" si="4"/>
        <v>▼</v>
      </c>
      <c r="I10" s="67">
        <f t="shared" si="5"/>
        <v>4797636</v>
      </c>
      <c r="J10" s="74">
        <f t="shared" si="6"/>
        <v>-0.17456440729177158</v>
      </c>
      <c r="O10" s="68"/>
    </row>
    <row r="11" spans="2:15" ht="16.5" thickBot="1" x14ac:dyDescent="0.3">
      <c r="B11" s="68" t="s">
        <v>160</v>
      </c>
      <c r="C11" s="138">
        <v>1936380.37</v>
      </c>
      <c r="D11" s="138">
        <v>2276748</v>
      </c>
      <c r="E11" s="138">
        <v>5068419</v>
      </c>
      <c r="F11" s="138">
        <v>210718</v>
      </c>
      <c r="G11" s="161">
        <v>6756029</v>
      </c>
      <c r="H11" s="65" t="str">
        <f t="shared" si="1"/>
        <v>▲</v>
      </c>
      <c r="I11" s="67">
        <f t="shared" si="2"/>
        <v>6545311</v>
      </c>
      <c r="J11" s="74">
        <f t="shared" si="3"/>
        <v>31.061945348759956</v>
      </c>
      <c r="O11" s="68"/>
    </row>
    <row r="12" spans="2:15" s="71" customFormat="1" ht="16.5" thickBot="1" x14ac:dyDescent="0.3">
      <c r="B12" s="69" t="s">
        <v>161</v>
      </c>
      <c r="C12" s="139">
        <f t="shared" ref="C12:G12" si="7">SUM(C4:C11)</f>
        <v>6833937.0113837561</v>
      </c>
      <c r="D12" s="139">
        <f t="shared" si="7"/>
        <v>12867795</v>
      </c>
      <c r="E12" s="139">
        <f t="shared" si="7"/>
        <v>-1534380</v>
      </c>
      <c r="F12" s="139">
        <f t="shared" si="7"/>
        <v>-9355018</v>
      </c>
      <c r="G12" s="162">
        <f t="shared" si="7"/>
        <v>4906038</v>
      </c>
      <c r="H12" s="70" t="str">
        <f t="shared" si="1"/>
        <v>▼</v>
      </c>
      <c r="I12" s="69">
        <f t="shared" si="2"/>
        <v>14261056</v>
      </c>
      <c r="J12" s="132">
        <f t="shared" si="3"/>
        <v>-1.524428493884245</v>
      </c>
    </row>
    <row r="13" spans="2:15" x14ac:dyDescent="0.25">
      <c r="B13" s="67" t="s">
        <v>162</v>
      </c>
      <c r="C13" s="138">
        <v>85169.579999999987</v>
      </c>
      <c r="D13" s="138">
        <v>290047.3000000001</v>
      </c>
      <c r="E13" s="138">
        <v>886996</v>
      </c>
      <c r="F13" s="138">
        <v>1038282</v>
      </c>
      <c r="G13" s="161">
        <v>634539</v>
      </c>
      <c r="H13" s="65" t="str">
        <f t="shared" si="1"/>
        <v>▼</v>
      </c>
      <c r="I13" s="67">
        <f t="shared" si="2"/>
        <v>-403743</v>
      </c>
      <c r="J13" s="74">
        <f t="shared" si="3"/>
        <v>-0.38885678457297723</v>
      </c>
      <c r="O13" s="138"/>
    </row>
    <row r="14" spans="2:15" x14ac:dyDescent="0.25">
      <c r="B14" s="67" t="s">
        <v>175</v>
      </c>
      <c r="C14" s="138">
        <v>0</v>
      </c>
      <c r="D14" s="138">
        <v>44525894.818782099</v>
      </c>
      <c r="E14" s="138">
        <v>0</v>
      </c>
      <c r="F14" s="138"/>
      <c r="G14" s="161"/>
      <c r="H14" s="65" t="str">
        <f t="shared" si="1"/>
        <v>▬</v>
      </c>
      <c r="I14" s="67">
        <f t="shared" si="2"/>
        <v>0</v>
      </c>
      <c r="J14" s="74" t="e">
        <f t="shared" si="3"/>
        <v>#DIV/0!</v>
      </c>
      <c r="O14" s="138"/>
    </row>
    <row r="15" spans="2:15" x14ac:dyDescent="0.25">
      <c r="B15" s="67" t="s">
        <v>19</v>
      </c>
      <c r="C15" s="138">
        <v>-3054857.0913820472</v>
      </c>
      <c r="D15" s="138">
        <v>-2894705.4863043702</v>
      </c>
      <c r="E15" s="138">
        <v>-4303354</v>
      </c>
      <c r="F15" s="138">
        <v>-4136316</v>
      </c>
      <c r="G15" s="161">
        <v>-5247341</v>
      </c>
      <c r="H15" s="65" t="str">
        <f t="shared" si="1"/>
        <v>▲</v>
      </c>
      <c r="I15" s="67">
        <f t="shared" si="2"/>
        <v>-1111025</v>
      </c>
      <c r="J15" s="74">
        <f t="shared" si="3"/>
        <v>0.26860254390621985</v>
      </c>
      <c r="O15" s="138"/>
    </row>
    <row r="16" spans="2:15" x14ac:dyDescent="0.25">
      <c r="B16" s="67" t="s">
        <v>163</v>
      </c>
      <c r="C16" s="138">
        <v>-1144984.9882143368</v>
      </c>
      <c r="D16" s="138">
        <v>2402565.1812179028</v>
      </c>
      <c r="E16" s="138">
        <v>0</v>
      </c>
      <c r="F16" s="138">
        <v>0</v>
      </c>
      <c r="G16" s="161">
        <v>0</v>
      </c>
      <c r="H16" s="65" t="str">
        <f t="shared" si="1"/>
        <v>▬</v>
      </c>
      <c r="I16" s="67">
        <f t="shared" si="2"/>
        <v>0</v>
      </c>
      <c r="J16" s="74" t="e">
        <f t="shared" si="3"/>
        <v>#DIV/0!</v>
      </c>
      <c r="O16" s="138"/>
    </row>
    <row r="17" spans="2:20" x14ac:dyDescent="0.25">
      <c r="B17" s="67" t="s">
        <v>180</v>
      </c>
      <c r="C17" s="138">
        <v>0</v>
      </c>
      <c r="D17" s="138">
        <v>0</v>
      </c>
      <c r="E17" s="138">
        <v>57882</v>
      </c>
      <c r="F17" s="138">
        <v>782307</v>
      </c>
      <c r="G17" s="161">
        <v>-52347</v>
      </c>
      <c r="H17" s="65" t="str">
        <f t="shared" ref="H17:H18" si="8">IF(G17+F17&gt;0,IF(G17&gt;F17,"▲",IF(G17=F17,"▬","▼")),IF(G17&gt;F17,"▼",IF(G17=F17,"▬","▲")))</f>
        <v>▼</v>
      </c>
      <c r="I17" s="67">
        <f t="shared" ref="I17:I18" si="9">G17-F17</f>
        <v>-834654</v>
      </c>
      <c r="J17" s="74">
        <f t="shared" ref="J17:J18" si="10">G17/F17-1</f>
        <v>-1.0669136285371343</v>
      </c>
      <c r="O17" s="138"/>
    </row>
    <row r="18" spans="2:20" ht="16.5" thickBot="1" x14ac:dyDescent="0.3">
      <c r="B18" s="67" t="s">
        <v>178</v>
      </c>
      <c r="C18" s="138">
        <v>0</v>
      </c>
      <c r="D18" s="138">
        <v>0</v>
      </c>
      <c r="E18" s="138">
        <v>0</v>
      </c>
      <c r="F18" s="138">
        <v>-97950</v>
      </c>
      <c r="G18" s="161">
        <v>-8202</v>
      </c>
      <c r="H18" s="65" t="str">
        <f t="shared" si="8"/>
        <v>▼</v>
      </c>
      <c r="I18" s="67">
        <f t="shared" si="9"/>
        <v>89748</v>
      </c>
      <c r="J18" s="74">
        <f t="shared" si="10"/>
        <v>-0.91626339969372128</v>
      </c>
      <c r="O18" s="138"/>
    </row>
    <row r="19" spans="2:20" s="71" customFormat="1" ht="16.5" thickBot="1" x14ac:dyDescent="0.3">
      <c r="B19" s="69" t="s">
        <v>21</v>
      </c>
      <c r="C19" s="139">
        <f t="shared" ref="C19:E19" si="11">SUM(C12:C18)</f>
        <v>2719264.5117873722</v>
      </c>
      <c r="D19" s="139">
        <f t="shared" si="11"/>
        <v>57191596.813695632</v>
      </c>
      <c r="E19" s="139">
        <f t="shared" si="11"/>
        <v>-4892856</v>
      </c>
      <c r="F19" s="139">
        <f>SUM(F12:F18)</f>
        <v>-11768695</v>
      </c>
      <c r="G19" s="162">
        <f>SUM(G12:G18)</f>
        <v>232687</v>
      </c>
      <c r="H19" s="70" t="str">
        <f t="shared" si="1"/>
        <v>▼</v>
      </c>
      <c r="I19" s="69">
        <f t="shared" si="2"/>
        <v>12001382</v>
      </c>
      <c r="J19" s="132">
        <f t="shared" si="3"/>
        <v>-1.0197716909139034</v>
      </c>
    </row>
    <row r="20" spans="2:20" ht="16.5" thickBot="1" x14ac:dyDescent="0.3">
      <c r="B20" s="67" t="s">
        <v>22</v>
      </c>
      <c r="C20" s="138">
        <v>-928652.4</v>
      </c>
      <c r="D20" s="138">
        <v>-1066842</v>
      </c>
      <c r="E20" s="138">
        <v>-242991</v>
      </c>
      <c r="F20" s="138">
        <v>1367367</v>
      </c>
      <c r="G20" s="161">
        <v>-79776</v>
      </c>
      <c r="H20" s="65" t="str">
        <f t="shared" si="1"/>
        <v>▼</v>
      </c>
      <c r="I20" s="67">
        <f t="shared" si="2"/>
        <v>-1447143</v>
      </c>
      <c r="J20" s="74">
        <f t="shared" si="3"/>
        <v>-1.0583427858065904</v>
      </c>
    </row>
    <row r="21" spans="2:20" s="71" customFormat="1" ht="16.5" thickBot="1" x14ac:dyDescent="0.3">
      <c r="B21" s="69" t="s">
        <v>112</v>
      </c>
      <c r="C21" s="139">
        <f>C19+C20</f>
        <v>1790612.1117873723</v>
      </c>
      <c r="D21" s="139">
        <f>D19+D20</f>
        <v>56124754.813695632</v>
      </c>
      <c r="E21" s="139">
        <f>E19+E20</f>
        <v>-5135847</v>
      </c>
      <c r="F21" s="139">
        <f>F19+F20</f>
        <v>-10401328</v>
      </c>
      <c r="G21" s="162">
        <f>G19+G20</f>
        <v>152911</v>
      </c>
      <c r="H21" s="70" t="str">
        <f t="shared" si="1"/>
        <v>▼</v>
      </c>
      <c r="I21" s="69">
        <f t="shared" si="2"/>
        <v>10554239</v>
      </c>
      <c r="J21" s="132" t="s">
        <v>102</v>
      </c>
    </row>
    <row r="22" spans="2:20" x14ac:dyDescent="0.25">
      <c r="B22" s="67" t="s">
        <v>110</v>
      </c>
      <c r="C22" s="140">
        <v>1793729.1004036162</v>
      </c>
      <c r="D22" s="140">
        <v>56119418.813695632</v>
      </c>
      <c r="E22" s="140">
        <v>-5128782</v>
      </c>
      <c r="F22" s="140">
        <v>-10394079</v>
      </c>
      <c r="G22" s="163">
        <v>153611</v>
      </c>
      <c r="H22" s="65" t="str">
        <f t="shared" si="1"/>
        <v>▼</v>
      </c>
      <c r="I22" s="67">
        <f t="shared" si="2"/>
        <v>10547690</v>
      </c>
      <c r="J22" s="74" t="s">
        <v>102</v>
      </c>
    </row>
    <row r="23" spans="2:20" ht="16.5" thickBot="1" x14ac:dyDescent="0.3">
      <c r="B23" s="67" t="s">
        <v>111</v>
      </c>
      <c r="C23" s="140">
        <v>-3118</v>
      </c>
      <c r="D23" s="140">
        <v>5336</v>
      </c>
      <c r="E23" s="140">
        <v>-7065</v>
      </c>
      <c r="F23" s="140">
        <v>-7249</v>
      </c>
      <c r="G23" s="163">
        <v>-700</v>
      </c>
      <c r="H23" s="65" t="str">
        <f t="shared" si="1"/>
        <v>▼</v>
      </c>
      <c r="I23" s="67">
        <f t="shared" si="2"/>
        <v>6549</v>
      </c>
      <c r="J23" s="74" t="s">
        <v>102</v>
      </c>
    </row>
    <row r="24" spans="2:20" s="71" customFormat="1" ht="16.5" thickBot="1" x14ac:dyDescent="0.3">
      <c r="B24" s="69" t="s">
        <v>113</v>
      </c>
      <c r="C24" s="139">
        <f t="shared" ref="C24:G24" si="12">C22+C23</f>
        <v>1790611.1004036162</v>
      </c>
      <c r="D24" s="139">
        <f t="shared" si="12"/>
        <v>56124754.813695632</v>
      </c>
      <c r="E24" s="139">
        <f t="shared" si="12"/>
        <v>-5135847</v>
      </c>
      <c r="F24" s="139">
        <f t="shared" si="12"/>
        <v>-10401328</v>
      </c>
      <c r="G24" s="162">
        <f t="shared" si="12"/>
        <v>152911</v>
      </c>
      <c r="H24" s="70" t="str">
        <f t="shared" si="1"/>
        <v>▼</v>
      </c>
      <c r="I24" s="69">
        <f t="shared" si="2"/>
        <v>10554239</v>
      </c>
      <c r="J24" s="132" t="s">
        <v>102</v>
      </c>
    </row>
    <row r="25" spans="2:20" x14ac:dyDescent="0.25">
      <c r="B25" s="67" t="s">
        <v>115</v>
      </c>
      <c r="C25" s="138">
        <v>115</v>
      </c>
      <c r="D25" s="138">
        <v>0</v>
      </c>
      <c r="E25" s="138">
        <v>64719</v>
      </c>
      <c r="F25" s="138">
        <v>-6358</v>
      </c>
      <c r="G25" s="161">
        <v>0</v>
      </c>
      <c r="H25" s="65" t="str">
        <f t="shared" si="1"/>
        <v>▼</v>
      </c>
      <c r="I25" s="67">
        <f t="shared" si="2"/>
        <v>6358</v>
      </c>
      <c r="J25" s="74">
        <f t="shared" si="3"/>
        <v>-1</v>
      </c>
    </row>
    <row r="26" spans="2:20" x14ac:dyDescent="0.25">
      <c r="B26" s="67" t="s">
        <v>116</v>
      </c>
      <c r="C26" s="138">
        <v>0</v>
      </c>
      <c r="D26" s="138">
        <v>745264</v>
      </c>
      <c r="E26" s="138"/>
      <c r="F26" s="138"/>
      <c r="G26" s="161"/>
      <c r="H26" s="65" t="str">
        <f t="shared" si="1"/>
        <v>▬</v>
      </c>
      <c r="I26" s="67">
        <f t="shared" si="2"/>
        <v>0</v>
      </c>
      <c r="J26" s="74" t="s">
        <v>102</v>
      </c>
    </row>
    <row r="27" spans="2:20" ht="16.5" thickBot="1" x14ac:dyDescent="0.3">
      <c r="B27" s="67"/>
      <c r="C27" s="138">
        <v>21017</v>
      </c>
      <c r="D27" s="138">
        <v>273332</v>
      </c>
      <c r="E27" s="138">
        <v>485482</v>
      </c>
      <c r="F27" s="138">
        <v>186674</v>
      </c>
      <c r="G27" s="161">
        <v>0</v>
      </c>
      <c r="H27" s="65" t="str">
        <f t="shared" si="1"/>
        <v>▼</v>
      </c>
      <c r="I27" s="67">
        <f t="shared" si="2"/>
        <v>-186674</v>
      </c>
      <c r="J27" s="74" t="s">
        <v>102</v>
      </c>
    </row>
    <row r="28" spans="2:20" s="71" customFormat="1" ht="16.5" thickBot="1" x14ac:dyDescent="0.3">
      <c r="B28" s="69" t="s">
        <v>114</v>
      </c>
      <c r="C28" s="139">
        <f>C24+C25+C26+C27</f>
        <v>1811743.1004036162</v>
      </c>
      <c r="D28" s="139">
        <f>D24+D25+D26+D27</f>
        <v>57143350.813695632</v>
      </c>
      <c r="E28" s="139">
        <f>E24+E25+E26+E27</f>
        <v>-4585646</v>
      </c>
      <c r="F28" s="139">
        <f>F24+F25+F26+F27</f>
        <v>-10221012</v>
      </c>
      <c r="G28" s="162">
        <f>G24+G25+G26+G27</f>
        <v>152911</v>
      </c>
      <c r="H28" s="70" t="str">
        <f t="shared" si="1"/>
        <v>▼</v>
      </c>
      <c r="I28" s="69">
        <f t="shared" si="2"/>
        <v>10373923</v>
      </c>
      <c r="J28" s="132">
        <f t="shared" si="3"/>
        <v>-1.0149604559705048</v>
      </c>
    </row>
    <row r="29" spans="2:20" x14ac:dyDescent="0.25">
      <c r="B29" s="67" t="s">
        <v>110</v>
      </c>
      <c r="C29" s="138">
        <f>C28-C30</f>
        <v>1814861.1004036162</v>
      </c>
      <c r="D29" s="138">
        <f t="shared" ref="D29:G29" si="13">D28-D30</f>
        <v>57138014.813695632</v>
      </c>
      <c r="E29" s="138">
        <f t="shared" si="13"/>
        <v>-4578581</v>
      </c>
      <c r="F29" s="138">
        <f t="shared" si="13"/>
        <v>-10213763</v>
      </c>
      <c r="G29" s="161">
        <f t="shared" si="13"/>
        <v>153611</v>
      </c>
      <c r="H29" s="65" t="str">
        <f t="shared" si="1"/>
        <v>▼</v>
      </c>
      <c r="I29" s="67">
        <f t="shared" si="2"/>
        <v>10367374</v>
      </c>
      <c r="J29" s="74">
        <f t="shared" si="3"/>
        <v>-1.0150396088101907</v>
      </c>
    </row>
    <row r="30" spans="2:20" x14ac:dyDescent="0.25">
      <c r="B30" s="67" t="s">
        <v>111</v>
      </c>
      <c r="C30" s="138">
        <f>C23</f>
        <v>-3118</v>
      </c>
      <c r="D30" s="138">
        <f t="shared" ref="D30:G30" si="14">D23</f>
        <v>5336</v>
      </c>
      <c r="E30" s="138">
        <f t="shared" si="14"/>
        <v>-7065</v>
      </c>
      <c r="F30" s="138">
        <f t="shared" si="14"/>
        <v>-7249</v>
      </c>
      <c r="G30" s="161">
        <f t="shared" si="14"/>
        <v>-700</v>
      </c>
      <c r="H30" s="65" t="str">
        <f t="shared" si="1"/>
        <v>▼</v>
      </c>
      <c r="I30" s="67">
        <f t="shared" si="2"/>
        <v>6549</v>
      </c>
      <c r="J30" s="74" t="s">
        <v>102</v>
      </c>
    </row>
    <row r="31" spans="2:20" x14ac:dyDescent="0.25">
      <c r="C31" s="183">
        <f>C24-C21</f>
        <v>-1.0113837560638785</v>
      </c>
      <c r="D31" s="183">
        <f t="shared" ref="D31:F31" si="15">D24-D21</f>
        <v>0</v>
      </c>
      <c r="E31" s="183">
        <f t="shared" si="15"/>
        <v>0</v>
      </c>
      <c r="F31" s="183">
        <f t="shared" si="15"/>
        <v>0</v>
      </c>
      <c r="G31" s="183">
        <f>G24-G21</f>
        <v>0</v>
      </c>
    </row>
    <row r="32" spans="2:20" ht="15.75" customHeight="1" x14ac:dyDescent="0.25">
      <c r="B32" s="156" t="s">
        <v>25</v>
      </c>
      <c r="L32" s="156" t="s">
        <v>62</v>
      </c>
      <c r="M32" s="156"/>
      <c r="N32" s="156"/>
      <c r="R32" s="156" t="s">
        <v>169</v>
      </c>
      <c r="S32" s="156"/>
      <c r="T32" s="106">
        <v>2025</v>
      </c>
    </row>
    <row r="33" spans="2:16" ht="16.5" thickBot="1" x14ac:dyDescent="0.3"/>
    <row r="34" spans="2:16" s="63" customFormat="1" ht="18.75" customHeight="1" thickBot="1" x14ac:dyDescent="0.3">
      <c r="B34" s="157" t="s">
        <v>117</v>
      </c>
      <c r="C34" s="159">
        <f>C3</f>
        <v>2021</v>
      </c>
      <c r="D34" s="159">
        <f>D3</f>
        <v>2022</v>
      </c>
      <c r="E34" s="159">
        <f>E3</f>
        <v>2023</v>
      </c>
      <c r="F34" s="159">
        <f>F3</f>
        <v>2024</v>
      </c>
      <c r="G34" s="159">
        <f>G3</f>
        <v>2025</v>
      </c>
      <c r="H34" s="227" t="str">
        <f>CONCATENATE(G34," vs. ",F34)</f>
        <v>2025 vs. 2024</v>
      </c>
      <c r="I34" s="227"/>
      <c r="J34" s="227"/>
      <c r="L34" s="159">
        <f>C34</f>
        <v>2021</v>
      </c>
      <c r="M34" s="159">
        <f t="shared" ref="M34:P34" si="16">D34</f>
        <v>2022</v>
      </c>
      <c r="N34" s="159">
        <f t="shared" si="16"/>
        <v>2023</v>
      </c>
      <c r="O34" s="159">
        <f t="shared" si="16"/>
        <v>2024</v>
      </c>
      <c r="P34" s="159">
        <f t="shared" si="16"/>
        <v>2025</v>
      </c>
    </row>
    <row r="35" spans="2:16" s="75" customFormat="1" x14ac:dyDescent="0.25">
      <c r="B35" s="75" t="s">
        <v>103</v>
      </c>
      <c r="C35" s="3">
        <v>264737647</v>
      </c>
      <c r="D35" s="3">
        <v>262801054</v>
      </c>
      <c r="E35" s="3">
        <v>214230854</v>
      </c>
      <c r="F35" s="3">
        <v>225633834</v>
      </c>
      <c r="G35" s="3">
        <v>194436270</v>
      </c>
      <c r="H35" s="65" t="str">
        <f t="shared" ref="H35:H41" si="17">IF(G35+F35&gt;0,IF(G35&gt;F35,"▲",IF(G35=F35,"▬","▼")),IF(G35&gt;F35,"▼",IF(G35=F35,"▬","▲")))</f>
        <v>▼</v>
      </c>
      <c r="I35" s="64">
        <f t="shared" ref="I35:I41" si="18">G35-F35</f>
        <v>-31197564</v>
      </c>
      <c r="J35" s="66">
        <f t="shared" ref="J35:J41" si="19">G35/F35-1</f>
        <v>-0.13826633819465217</v>
      </c>
      <c r="L35" s="77">
        <f t="shared" ref="L35:P41" si="20">C35/C$39</f>
        <v>0.64423143399706639</v>
      </c>
      <c r="M35" s="77">
        <f t="shared" si="20"/>
        <v>0.5905707130670923</v>
      </c>
      <c r="N35" s="77">
        <f t="shared" si="20"/>
        <v>0.60836556950281251</v>
      </c>
      <c r="O35" s="77">
        <f t="shared" si="20"/>
        <v>0.63193246284563853</v>
      </c>
      <c r="P35" s="164">
        <f t="shared" si="20"/>
        <v>0.64021634619491197</v>
      </c>
    </row>
    <row r="36" spans="2:16" s="75" customFormat="1" x14ac:dyDescent="0.25">
      <c r="B36" s="75" t="s">
        <v>104</v>
      </c>
      <c r="C36" s="3">
        <v>133415290.42000002</v>
      </c>
      <c r="D36" s="3">
        <v>164064764.47999999</v>
      </c>
      <c r="E36" s="3">
        <v>115487833.52</v>
      </c>
      <c r="F36" s="3">
        <v>109272488.62</v>
      </c>
      <c r="G36" s="3">
        <v>93304833.440000013</v>
      </c>
      <c r="H36" s="65" t="str">
        <f t="shared" si="17"/>
        <v>▼</v>
      </c>
      <c r="I36" s="64">
        <f t="shared" si="18"/>
        <v>-15967655.179999992</v>
      </c>
      <c r="J36" s="66">
        <f t="shared" si="19"/>
        <v>-0.14612694724587294</v>
      </c>
      <c r="L36" s="77">
        <f t="shared" si="20"/>
        <v>0.32466226408823406</v>
      </c>
      <c r="M36" s="77">
        <f t="shared" si="20"/>
        <v>0.36868895110343869</v>
      </c>
      <c r="N36" s="77">
        <f t="shared" si="20"/>
        <v>0.32795846302344855</v>
      </c>
      <c r="O36" s="77">
        <f t="shared" si="20"/>
        <v>0.3060393542526455</v>
      </c>
      <c r="P36" s="164">
        <f t="shared" si="20"/>
        <v>0.3072229247520622</v>
      </c>
    </row>
    <row r="37" spans="2:16" s="75" customFormat="1" x14ac:dyDescent="0.25">
      <c r="B37" s="75" t="s">
        <v>105</v>
      </c>
      <c r="C37" s="3">
        <v>11711050.470000001</v>
      </c>
      <c r="D37" s="3">
        <v>17005204.48</v>
      </c>
      <c r="E37" s="3">
        <v>20393925.700000003</v>
      </c>
      <c r="F37" s="3">
        <v>19637384.949999999</v>
      </c>
      <c r="G37" s="3">
        <v>13993961.689999999</v>
      </c>
      <c r="H37" s="65" t="str">
        <f t="shared" si="17"/>
        <v>▼</v>
      </c>
      <c r="I37" s="64">
        <f t="shared" si="18"/>
        <v>-5643423.2599999998</v>
      </c>
      <c r="J37" s="66">
        <f t="shared" si="19"/>
        <v>-0.28738160780414912</v>
      </c>
      <c r="L37" s="77">
        <f t="shared" si="20"/>
        <v>2.8498503795722406E-2</v>
      </c>
      <c r="M37" s="77">
        <f t="shared" si="20"/>
        <v>3.8214366277257446E-2</v>
      </c>
      <c r="N37" s="77">
        <f t="shared" si="20"/>
        <v>5.7913983869375539E-2</v>
      </c>
      <c r="O37" s="77">
        <f t="shared" si="20"/>
        <v>5.4998405227211514E-2</v>
      </c>
      <c r="P37" s="164">
        <f t="shared" si="20"/>
        <v>4.6077632645202336E-2</v>
      </c>
    </row>
    <row r="38" spans="2:16" s="75" customFormat="1" ht="16.5" thickBot="1" x14ac:dyDescent="0.3">
      <c r="B38" s="75" t="s">
        <v>106</v>
      </c>
      <c r="C38" s="3">
        <v>1071637.1499999999</v>
      </c>
      <c r="D38" s="3">
        <v>1124043.99</v>
      </c>
      <c r="E38" s="3">
        <v>2029034.4</v>
      </c>
      <c r="F38" s="3">
        <v>2510008.2400000002</v>
      </c>
      <c r="G38" s="3">
        <v>1968942.36</v>
      </c>
      <c r="H38" s="65" t="str">
        <f t="shared" si="17"/>
        <v>▼</v>
      </c>
      <c r="I38" s="64">
        <f t="shared" si="18"/>
        <v>-541065.88000000012</v>
      </c>
      <c r="J38" s="66">
        <f t="shared" si="19"/>
        <v>-0.21556338795126828</v>
      </c>
      <c r="L38" s="77">
        <f t="shared" si="20"/>
        <v>2.6077981189771217E-3</v>
      </c>
      <c r="M38" s="77">
        <f t="shared" si="20"/>
        <v>2.5259695522114592E-3</v>
      </c>
      <c r="N38" s="77">
        <f t="shared" si="20"/>
        <v>5.7619836043635315E-3</v>
      </c>
      <c r="O38" s="77">
        <f t="shared" si="20"/>
        <v>7.0297776745044654E-3</v>
      </c>
      <c r="P38" s="164">
        <f t="shared" si="20"/>
        <v>6.4830964078234328E-3</v>
      </c>
    </row>
    <row r="39" spans="2:16" s="84" customFormat="1" ht="16.5" thickBot="1" x14ac:dyDescent="0.3">
      <c r="B39" s="78" t="s">
        <v>109</v>
      </c>
      <c r="C39" s="141">
        <f>SUM(C35:C38)</f>
        <v>410935625.04000002</v>
      </c>
      <c r="D39" s="141">
        <f>SUM(D35:D38)</f>
        <v>444995066.95000005</v>
      </c>
      <c r="E39" s="141">
        <f>SUM(E35:E38)</f>
        <v>352141647.61999995</v>
      </c>
      <c r="F39" s="141">
        <f>SUM(F35:F38)</f>
        <v>357053715.81</v>
      </c>
      <c r="G39" s="141">
        <f>SUM(G35:G38)</f>
        <v>303704007.49000001</v>
      </c>
      <c r="H39" s="79" t="str">
        <f t="shared" si="17"/>
        <v>▼</v>
      </c>
      <c r="I39" s="80">
        <f t="shared" si="18"/>
        <v>-53349708.319999993</v>
      </c>
      <c r="J39" s="81">
        <f t="shared" si="19"/>
        <v>-0.1494164770109524</v>
      </c>
      <c r="K39" s="82"/>
      <c r="L39" s="83">
        <f t="shared" si="20"/>
        <v>1</v>
      </c>
      <c r="M39" s="83">
        <f t="shared" si="20"/>
        <v>1</v>
      </c>
      <c r="N39" s="83">
        <f t="shared" si="20"/>
        <v>1</v>
      </c>
      <c r="O39" s="83">
        <f t="shared" si="20"/>
        <v>1</v>
      </c>
      <c r="P39" s="165">
        <f t="shared" si="20"/>
        <v>1</v>
      </c>
    </row>
    <row r="40" spans="2:16" s="84" customFormat="1" x14ac:dyDescent="0.25">
      <c r="B40" s="84" t="s">
        <v>107</v>
      </c>
      <c r="C40" s="131">
        <v>69616188.668269694</v>
      </c>
      <c r="D40" s="131">
        <v>63009389.459300004</v>
      </c>
      <c r="E40" s="131">
        <v>47457662.822409704</v>
      </c>
      <c r="F40" s="131">
        <v>49738065.938019224</v>
      </c>
      <c r="G40" s="131">
        <v>44320812.437255591</v>
      </c>
      <c r="H40" s="65" t="str">
        <f t="shared" si="17"/>
        <v>▼</v>
      </c>
      <c r="I40" s="64">
        <f t="shared" si="18"/>
        <v>-5417253.5007636324</v>
      </c>
      <c r="J40" s="66">
        <f t="shared" si="19"/>
        <v>-0.10891564435807188</v>
      </c>
      <c r="L40" s="85">
        <f t="shared" si="20"/>
        <v>0.16940898872297414</v>
      </c>
      <c r="M40" s="85">
        <f t="shared" si="20"/>
        <v>0.14159570327636864</v>
      </c>
      <c r="N40" s="85">
        <f t="shared" si="20"/>
        <v>0.13476867375148369</v>
      </c>
      <c r="O40" s="85">
        <f t="shared" si="20"/>
        <v>0.13930135364978663</v>
      </c>
      <c r="P40" s="166">
        <f t="shared" si="20"/>
        <v>0.14593423644143033</v>
      </c>
    </row>
    <row r="41" spans="2:16" s="86" customFormat="1" ht="16.5" thickBot="1" x14ac:dyDescent="0.3">
      <c r="B41" s="86" t="s">
        <v>108</v>
      </c>
      <c r="C41" s="142">
        <f t="shared" ref="C41" si="21">C39-C40</f>
        <v>341319436.37173033</v>
      </c>
      <c r="D41" s="142">
        <f>D39-D40</f>
        <v>381985677.49070007</v>
      </c>
      <c r="E41" s="142">
        <f>E39-E40</f>
        <v>304683984.79759026</v>
      </c>
      <c r="F41" s="142">
        <f>F39-F40</f>
        <v>307315649.87198079</v>
      </c>
      <c r="G41" s="142">
        <f>G39-G40</f>
        <v>259383195.05274442</v>
      </c>
      <c r="H41" s="87" t="str">
        <f t="shared" si="17"/>
        <v>▼</v>
      </c>
      <c r="I41" s="88">
        <f t="shared" si="18"/>
        <v>-47932454.819236368</v>
      </c>
      <c r="J41" s="89">
        <f t="shared" si="19"/>
        <v>-0.15597140867770221</v>
      </c>
      <c r="L41" s="90">
        <f t="shared" si="20"/>
        <v>0.83059101127702584</v>
      </c>
      <c r="M41" s="90">
        <f t="shared" si="20"/>
        <v>0.85840429672363139</v>
      </c>
      <c r="N41" s="90">
        <f t="shared" si="20"/>
        <v>0.8652313262485164</v>
      </c>
      <c r="O41" s="90">
        <f t="shared" si="20"/>
        <v>0.86069864635021343</v>
      </c>
      <c r="P41" s="167">
        <f t="shared" si="20"/>
        <v>0.85406576355856967</v>
      </c>
    </row>
    <row r="42" spans="2:16" s="84" customFormat="1" ht="10.35" customHeight="1" x14ac:dyDescent="0.25">
      <c r="B42" s="91"/>
      <c r="C42" s="92">
        <f>C41-C4</f>
        <v>0.37173032760620117</v>
      </c>
      <c r="D42" s="92">
        <f>D41-D4</f>
        <v>0.49070006608963013</v>
      </c>
      <c r="E42" s="92">
        <f>E41-E4</f>
        <v>-0.20240974426269531</v>
      </c>
      <c r="F42" s="92">
        <f>F41-F4</f>
        <v>-0.12801921367645264</v>
      </c>
      <c r="G42" s="92">
        <f>G41-G4</f>
        <v>5.2744418382644653E-2</v>
      </c>
      <c r="H42" s="93"/>
      <c r="I42" s="94"/>
      <c r="J42" s="95"/>
    </row>
    <row r="43" spans="2:16" ht="18.75" customHeight="1" x14ac:dyDescent="0.25">
      <c r="B43" s="156" t="s">
        <v>135</v>
      </c>
      <c r="J43" s="96"/>
      <c r="L43" s="156" t="s">
        <v>62</v>
      </c>
      <c r="M43" s="156"/>
      <c r="N43" s="156"/>
    </row>
    <row r="44" spans="2:16" ht="8.25" customHeight="1" thickBot="1" x14ac:dyDescent="0.3"/>
    <row r="45" spans="2:16" s="63" customFormat="1" ht="18" customHeight="1" thickBot="1" x14ac:dyDescent="0.3">
      <c r="B45" s="157" t="s">
        <v>16</v>
      </c>
      <c r="C45" s="159">
        <f>C3</f>
        <v>2021</v>
      </c>
      <c r="D45" s="159">
        <f>D3</f>
        <v>2022</v>
      </c>
      <c r="E45" s="159">
        <f>E3</f>
        <v>2023</v>
      </c>
      <c r="F45" s="159">
        <f>F3</f>
        <v>2024</v>
      </c>
      <c r="G45" s="159">
        <f>G3</f>
        <v>2025</v>
      </c>
      <c r="H45" s="227" t="str">
        <f>CONCATENATE(G45," vs. ",F45)</f>
        <v>2025 vs. 2024</v>
      </c>
      <c r="I45" s="227"/>
      <c r="J45" s="227"/>
      <c r="L45" s="159">
        <f>C45</f>
        <v>2021</v>
      </c>
      <c r="M45" s="159">
        <f>L45+1</f>
        <v>2022</v>
      </c>
      <c r="N45" s="159">
        <f t="shared" ref="N45:P45" si="22">M45+1</f>
        <v>2023</v>
      </c>
      <c r="O45" s="159">
        <f t="shared" si="22"/>
        <v>2024</v>
      </c>
      <c r="P45" s="159">
        <f t="shared" si="22"/>
        <v>2025</v>
      </c>
    </row>
    <row r="46" spans="2:16" x14ac:dyDescent="0.25">
      <c r="B46" s="97" t="s">
        <v>118</v>
      </c>
      <c r="C46" s="143">
        <v>276755900.76564091</v>
      </c>
      <c r="D46" s="143">
        <v>313728863.26700002</v>
      </c>
      <c r="E46" s="143">
        <v>249100439.352595</v>
      </c>
      <c r="F46" s="143">
        <v>246872721.81457147</v>
      </c>
      <c r="G46" s="143">
        <v>217783696</v>
      </c>
      <c r="H46" s="65" t="str">
        <f t="shared" ref="H46:H52" si="23">IF(G46+F46&gt;0,IF(G46&gt;F46,"▲",IF(G46=F46,"▬","▼")),IF(G46&gt;F46,"▼",IF(G46=F46,"▬","▲")))</f>
        <v>▼</v>
      </c>
      <c r="I46" s="98">
        <f t="shared" ref="I46:I52" si="24">G46-F46</f>
        <v>-29089025.81457147</v>
      </c>
      <c r="J46" s="66">
        <f t="shared" ref="J46:J52" si="25">G46/F46-1</f>
        <v>-0.11783005267151603</v>
      </c>
      <c r="L46" s="77">
        <f>C46/C$52</f>
        <v>0.8108413172004586</v>
      </c>
      <c r="M46" s="77">
        <f t="shared" ref="M46:P52" si="26">D46/D$52</f>
        <v>0.82131054056244868</v>
      </c>
      <c r="N46" s="77">
        <f t="shared" si="26"/>
        <v>0.81756984870103722</v>
      </c>
      <c r="O46" s="77">
        <f t="shared" si="26"/>
        <v>0.80331972002536101</v>
      </c>
      <c r="P46" s="168">
        <f t="shared" si="26"/>
        <v>0.83962145658665355</v>
      </c>
    </row>
    <row r="47" spans="2:16" x14ac:dyDescent="0.25">
      <c r="B47" s="97" t="s">
        <v>119</v>
      </c>
      <c r="C47" s="143">
        <v>14703881.024655703</v>
      </c>
      <c r="D47" s="143">
        <v>17584021.013700001</v>
      </c>
      <c r="E47" s="143">
        <v>9958084.6392173134</v>
      </c>
      <c r="F47" s="143">
        <v>11521413.2294739</v>
      </c>
      <c r="G47" s="143">
        <v>9147333</v>
      </c>
      <c r="H47" s="65" t="str">
        <f t="shared" si="23"/>
        <v>▼</v>
      </c>
      <c r="I47" s="98">
        <f t="shared" si="24"/>
        <v>-2374080.2294739</v>
      </c>
      <c r="J47" s="66">
        <f t="shared" si="25"/>
        <v>-0.20605807483760452</v>
      </c>
      <c r="L47" s="77">
        <f t="shared" ref="L47:L52" si="27">C47/C$52</f>
        <v>4.3079530463513906E-2</v>
      </c>
      <c r="M47" s="77">
        <f t="shared" si="26"/>
        <v>4.6033194566903912E-2</v>
      </c>
      <c r="N47" s="77">
        <f t="shared" si="26"/>
        <v>3.2683321526836194E-2</v>
      </c>
      <c r="O47" s="77">
        <f t="shared" si="26"/>
        <v>3.7490486521833177E-2</v>
      </c>
      <c r="P47" s="168">
        <f t="shared" si="26"/>
        <v>3.5265711797558823E-2</v>
      </c>
    </row>
    <row r="48" spans="2:16" x14ac:dyDescent="0.25">
      <c r="B48" s="97" t="s">
        <v>120</v>
      </c>
      <c r="C48" s="143">
        <v>643853.43000000005</v>
      </c>
      <c r="D48" s="143">
        <v>479171.53</v>
      </c>
      <c r="E48" s="143">
        <v>293094.69999999995</v>
      </c>
      <c r="F48" s="143">
        <v>396286.26</v>
      </c>
      <c r="G48" s="143">
        <v>460523</v>
      </c>
      <c r="H48" s="65" t="str">
        <f t="shared" si="23"/>
        <v>▲</v>
      </c>
      <c r="I48" s="98">
        <f t="shared" si="24"/>
        <v>64236.739999999991</v>
      </c>
      <c r="J48" s="66">
        <f t="shared" si="25"/>
        <v>0.16209681355089112</v>
      </c>
      <c r="L48" s="77">
        <f t="shared" si="27"/>
        <v>1.8863661508967081E-3</v>
      </c>
      <c r="M48" s="77">
        <f t="shared" si="26"/>
        <v>1.254422765658972E-3</v>
      </c>
      <c r="N48" s="77">
        <f t="shared" si="26"/>
        <v>9.6196293413554584E-4</v>
      </c>
      <c r="O48" s="77">
        <f t="shared" si="26"/>
        <v>1.2895088817152069E-3</v>
      </c>
      <c r="P48" s="168">
        <f t="shared" si="26"/>
        <v>1.7754542656473948E-3</v>
      </c>
    </row>
    <row r="49" spans="2:16" x14ac:dyDescent="0.25">
      <c r="B49" s="97" t="s">
        <v>121</v>
      </c>
      <c r="C49" s="143">
        <v>3514730.64</v>
      </c>
      <c r="D49" s="143">
        <v>3141708</v>
      </c>
      <c r="E49" s="143">
        <v>4167180.1000000006</v>
      </c>
      <c r="F49" s="143">
        <v>5463057.129999999</v>
      </c>
      <c r="G49" s="143">
        <v>2667433</v>
      </c>
      <c r="H49" s="65" t="str">
        <f t="shared" si="23"/>
        <v>▼</v>
      </c>
      <c r="I49" s="98">
        <f t="shared" si="24"/>
        <v>-2795624.129999999</v>
      </c>
      <c r="J49" s="66">
        <f t="shared" si="25"/>
        <v>-0.51173254525346679</v>
      </c>
      <c r="L49" s="77">
        <f t="shared" si="27"/>
        <v>1.029748169364497E-2</v>
      </c>
      <c r="M49" s="77">
        <f t="shared" si="26"/>
        <v>8.2246748638278178E-3</v>
      </c>
      <c r="N49" s="77">
        <f t="shared" si="26"/>
        <v>1.3677056582965363E-2</v>
      </c>
      <c r="O49" s="77">
        <f t="shared" si="26"/>
        <v>1.777669680107654E-2</v>
      </c>
      <c r="P49" s="168">
        <f t="shared" si="26"/>
        <v>1.0283754119074676E-2</v>
      </c>
    </row>
    <row r="50" spans="2:16" x14ac:dyDescent="0.25">
      <c r="B50" s="97" t="s">
        <v>122</v>
      </c>
      <c r="C50" s="143">
        <v>43132592.081433646</v>
      </c>
      <c r="D50" s="143">
        <v>37641933.119999982</v>
      </c>
      <c r="E50" s="143">
        <v>32316562.635777943</v>
      </c>
      <c r="F50" s="143">
        <v>34368278.717935413</v>
      </c>
      <c r="G50" s="143">
        <v>24762848</v>
      </c>
      <c r="H50" s="65" t="str">
        <f t="shared" si="23"/>
        <v>▼</v>
      </c>
      <c r="I50" s="98">
        <f t="shared" si="24"/>
        <v>-9605430.7179354131</v>
      </c>
      <c r="J50" s="66">
        <f t="shared" si="25"/>
        <v>-0.27948535906521055</v>
      </c>
      <c r="L50" s="77">
        <f t="shared" si="27"/>
        <v>0.12637016114498575</v>
      </c>
      <c r="M50" s="77">
        <f t="shared" si="26"/>
        <v>9.8542786649157624E-2</v>
      </c>
      <c r="N50" s="77">
        <f t="shared" si="26"/>
        <v>0.10606583951974602</v>
      </c>
      <c r="O50" s="77">
        <f t="shared" si="26"/>
        <v>0.11183380583531066</v>
      </c>
      <c r="P50" s="168">
        <f t="shared" si="26"/>
        <v>9.546820486963313E-2</v>
      </c>
    </row>
    <row r="51" spans="2:16" ht="16.5" thickBot="1" x14ac:dyDescent="0.3">
      <c r="B51" s="97" t="s">
        <v>123</v>
      </c>
      <c r="C51" s="143">
        <v>2568477.6800000006</v>
      </c>
      <c r="D51" s="143">
        <v>9409980.5600000024</v>
      </c>
      <c r="E51" s="143">
        <v>8848623.370000001</v>
      </c>
      <c r="F51" s="143">
        <v>8693892.7199999988</v>
      </c>
      <c r="G51" s="143">
        <v>4561362</v>
      </c>
      <c r="H51" s="65" t="str">
        <f t="shared" si="23"/>
        <v>▼</v>
      </c>
      <c r="I51" s="98">
        <f t="shared" si="24"/>
        <v>-4132530.7199999988</v>
      </c>
      <c r="J51" s="66">
        <f t="shared" si="25"/>
        <v>-0.47533721120036998</v>
      </c>
      <c r="L51" s="77">
        <f t="shared" si="27"/>
        <v>7.5251433465000055E-3</v>
      </c>
      <c r="M51" s="77">
        <f t="shared" si="26"/>
        <v>2.4634380592002961E-2</v>
      </c>
      <c r="N51" s="77">
        <f t="shared" si="26"/>
        <v>2.9041970735279633E-2</v>
      </c>
      <c r="O51" s="77">
        <f t="shared" si="26"/>
        <v>2.8289781934703405E-2</v>
      </c>
      <c r="P51" s="168">
        <f t="shared" si="26"/>
        <v>1.7585418361432396E-2</v>
      </c>
    </row>
    <row r="52" spans="2:16" ht="16.5" thickBot="1" x14ac:dyDescent="0.3">
      <c r="B52" s="69" t="s">
        <v>126</v>
      </c>
      <c r="C52" s="144">
        <f>SUM(C46:C51)</f>
        <v>341319435.62173027</v>
      </c>
      <c r="D52" s="144">
        <f>SUM(D46:D51)</f>
        <v>381985677.49070001</v>
      </c>
      <c r="E52" s="144">
        <f>SUM(E46:E51)</f>
        <v>304683984.79759026</v>
      </c>
      <c r="F52" s="144">
        <f>SUM(F46:F51)</f>
        <v>307315649.87198079</v>
      </c>
      <c r="G52" s="144">
        <f>SUM(G46:G51)</f>
        <v>259383195</v>
      </c>
      <c r="H52" s="72" t="str">
        <f t="shared" si="23"/>
        <v>▼</v>
      </c>
      <c r="I52" s="99">
        <f t="shared" si="24"/>
        <v>-47932454.871980786</v>
      </c>
      <c r="J52" s="73">
        <f t="shared" si="25"/>
        <v>-0.15597140884933169</v>
      </c>
      <c r="L52" s="83">
        <f t="shared" si="27"/>
        <v>1</v>
      </c>
      <c r="M52" s="83">
        <f t="shared" si="26"/>
        <v>1</v>
      </c>
      <c r="N52" s="83">
        <f t="shared" si="26"/>
        <v>1</v>
      </c>
      <c r="O52" s="83">
        <f t="shared" si="26"/>
        <v>1</v>
      </c>
      <c r="P52" s="165">
        <f t="shared" si="26"/>
        <v>1</v>
      </c>
    </row>
    <row r="53" spans="2:16" ht="16.5" thickBot="1" x14ac:dyDescent="0.3">
      <c r="B53" s="100" t="s">
        <v>124</v>
      </c>
      <c r="C53" s="28">
        <v>545349.71</v>
      </c>
      <c r="D53" s="28">
        <v>594236.39000000013</v>
      </c>
      <c r="E53" s="28">
        <v>503388.35000000009</v>
      </c>
      <c r="F53" s="28">
        <v>459702</v>
      </c>
      <c r="G53" s="28">
        <v>332513</v>
      </c>
      <c r="H53" s="76" t="str">
        <f t="shared" ref="H53" si="28">IF(G53+F53&gt;0,IF(G53&gt;F53,"▲",IF(G53=F53,"▬","▼")),IF(G53&gt;F53,"▼",IF(G53=F53,"▬","▲")))</f>
        <v>▼</v>
      </c>
      <c r="I53" s="98">
        <f t="shared" ref="I53" si="29">G53-F53</f>
        <v>-127189</v>
      </c>
      <c r="J53" s="77">
        <f t="shared" ref="J53" si="30">G53/F53-1</f>
        <v>-0.27667706470713638</v>
      </c>
      <c r="L53" s="101"/>
      <c r="M53" s="101"/>
      <c r="N53" s="101"/>
      <c r="O53" s="101"/>
      <c r="P53" s="101"/>
    </row>
    <row r="54" spans="2:16" ht="16.5" thickBot="1" x14ac:dyDescent="0.3">
      <c r="B54" s="69" t="s">
        <v>171</v>
      </c>
      <c r="C54" s="144">
        <f t="shared" ref="C54:G54" si="31">C52+C53</f>
        <v>341864785.33173025</v>
      </c>
      <c r="D54" s="144">
        <f t="shared" si="31"/>
        <v>382579913.88069999</v>
      </c>
      <c r="E54" s="144">
        <f t="shared" si="31"/>
        <v>305187373.14759028</v>
      </c>
      <c r="F54" s="144">
        <f t="shared" si="31"/>
        <v>307775351.87198079</v>
      </c>
      <c r="G54" s="144">
        <f t="shared" si="31"/>
        <v>259715708</v>
      </c>
      <c r="H54" s="72" t="str">
        <f t="shared" ref="H54" si="32">IF(G54+F54&gt;0,IF(G54&gt;F54,"▲",IF(G54=F54,"▬","▼")),IF(G54&gt;F54,"▼",IF(G54=F54,"▬","▲")))</f>
        <v>▼</v>
      </c>
      <c r="I54" s="99">
        <f t="shared" ref="I54" si="33">G54-F54</f>
        <v>-48059643.871980786</v>
      </c>
      <c r="J54" s="73">
        <f t="shared" ref="J54" si="34">G54/F54-1</f>
        <v>-0.156151698242461</v>
      </c>
    </row>
    <row r="56" spans="2:16" x14ac:dyDescent="0.25">
      <c r="B56" s="102" t="s">
        <v>133</v>
      </c>
    </row>
    <row r="57" spans="2:16" x14ac:dyDescent="0.25">
      <c r="B57" s="102"/>
      <c r="C57" s="134">
        <f>C52-C41</f>
        <v>-0.75000005960464478</v>
      </c>
      <c r="D57" s="134">
        <f t="shared" ref="D57:G57" si="35">D52-D41</f>
        <v>0</v>
      </c>
      <c r="E57" s="134">
        <f t="shared" si="35"/>
        <v>0</v>
      </c>
      <c r="F57" s="134">
        <f t="shared" si="35"/>
        <v>0</v>
      </c>
      <c r="G57" s="134">
        <f t="shared" si="35"/>
        <v>-5.2744418382644653E-2</v>
      </c>
    </row>
  </sheetData>
  <mergeCells count="3">
    <mergeCell ref="H3:J3"/>
    <mergeCell ref="H45:J45"/>
    <mergeCell ref="H34:J34"/>
  </mergeCells>
  <conditionalFormatting sqref="H4:H30 H35:H41">
    <cfRule type="expression" dxfId="5" priority="1">
      <formula>G4=F4</formula>
    </cfRule>
    <cfRule type="expression" dxfId="4" priority="2">
      <formula>G4&lt;F4</formula>
    </cfRule>
    <cfRule type="expression" dxfId="3" priority="3">
      <formula>G4&gt;F4</formula>
    </cfRule>
  </conditionalFormatting>
  <conditionalFormatting sqref="H46:H54">
    <cfRule type="expression" dxfId="2" priority="19">
      <formula>G46=F46</formula>
    </cfRule>
    <cfRule type="expression" dxfId="1" priority="20">
      <formula>G46&lt;F46</formula>
    </cfRule>
    <cfRule type="expression" dxfId="0" priority="21">
      <formula>G46&gt;F46</formula>
    </cfRule>
  </conditionalFormatting>
  <dataValidations count="1">
    <dataValidation type="list" allowBlank="1" showInputMessage="1" showErrorMessage="1" sqref="T32" xr:uid="{DD5B2CBF-8F49-4BDA-AE9A-A5D25F3C7EA0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3"/>
  <sheetViews>
    <sheetView showGridLines="0" zoomScale="90" zoomScaleNormal="9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J70" sqref="J70"/>
    </sheetView>
  </sheetViews>
  <sheetFormatPr defaultColWidth="8.7109375" defaultRowHeight="15" x14ac:dyDescent="0.25"/>
  <cols>
    <col min="1" max="1" width="79.140625" style="4" customWidth="1"/>
    <col min="2" max="2" width="63" style="19" bestFit="1" customWidth="1"/>
    <col min="3" max="3" width="12.85546875" style="19" bestFit="1" customWidth="1"/>
    <col min="4" max="6" width="13.140625" style="19" bestFit="1" customWidth="1"/>
    <col min="7" max="7" width="13.5703125" style="182" customWidth="1"/>
    <col min="8" max="16384" width="8.7109375" style="19"/>
  </cols>
  <sheetData>
    <row r="1" spans="1:7" x14ac:dyDescent="0.25">
      <c r="A1" s="4" t="s">
        <v>172</v>
      </c>
      <c r="B1" s="4"/>
      <c r="C1" s="4"/>
      <c r="D1" s="4"/>
      <c r="E1" s="4"/>
      <c r="F1" s="4"/>
      <c r="G1" s="185"/>
    </row>
    <row r="2" spans="1:7" ht="15.75" thickBot="1" x14ac:dyDescent="0.3">
      <c r="A2" s="186"/>
      <c r="B2" s="186"/>
      <c r="C2" s="155">
        <v>44561</v>
      </c>
      <c r="D2" s="155">
        <v>44926</v>
      </c>
      <c r="E2" s="155">
        <v>45291</v>
      </c>
      <c r="F2" s="155">
        <v>45657</v>
      </c>
      <c r="G2" s="187">
        <v>46022</v>
      </c>
    </row>
    <row r="3" spans="1:7" x14ac:dyDescent="0.25">
      <c r="A3" s="188" t="s">
        <v>181</v>
      </c>
      <c r="B3" s="188" t="s">
        <v>182</v>
      </c>
      <c r="C3" s="189"/>
      <c r="D3" s="189"/>
      <c r="E3" s="189"/>
      <c r="F3" s="189"/>
      <c r="G3" s="190"/>
    </row>
    <row r="4" spans="1:7" x14ac:dyDescent="0.25">
      <c r="A4" s="191" t="s">
        <v>183</v>
      </c>
      <c r="B4" s="191" t="s">
        <v>184</v>
      </c>
      <c r="C4" s="192">
        <v>1790612</v>
      </c>
      <c r="D4" s="192">
        <v>56124754.93058265</v>
      </c>
      <c r="E4" s="192">
        <v>-5135847.162158018</v>
      </c>
      <c r="F4" s="192">
        <v>-10401328</v>
      </c>
      <c r="G4" s="193">
        <v>152912.19000000041</v>
      </c>
    </row>
    <row r="5" spans="1:7" x14ac:dyDescent="0.25">
      <c r="A5" s="194" t="s">
        <v>185</v>
      </c>
      <c r="B5" s="194" t="s">
        <v>186</v>
      </c>
      <c r="C5" s="195"/>
      <c r="D5" s="195"/>
      <c r="E5" s="195"/>
      <c r="F5" s="195"/>
      <c r="G5" s="196"/>
    </row>
    <row r="6" spans="1:7" x14ac:dyDescent="0.25">
      <c r="A6" s="197" t="s">
        <v>187</v>
      </c>
      <c r="B6" s="198" t="s">
        <v>188</v>
      </c>
      <c r="C6" s="195">
        <v>928652</v>
      </c>
      <c r="D6" s="195">
        <v>1066842</v>
      </c>
      <c r="E6" s="195">
        <v>242991</v>
      </c>
      <c r="F6" s="195">
        <v>-1367367</v>
      </c>
      <c r="G6" s="196">
        <v>79776</v>
      </c>
    </row>
    <row r="7" spans="1:7" x14ac:dyDescent="0.25">
      <c r="A7" s="197" t="s">
        <v>189</v>
      </c>
      <c r="B7" s="197" t="s">
        <v>190</v>
      </c>
      <c r="C7" s="195">
        <v>2009060.9013820472</v>
      </c>
      <c r="D7" s="195">
        <v>2810678.6063043703</v>
      </c>
      <c r="E7" s="195">
        <v>3620435.7221580162</v>
      </c>
      <c r="F7" s="195">
        <v>4113937</v>
      </c>
      <c r="G7" s="196">
        <v>3460957.07</v>
      </c>
    </row>
    <row r="8" spans="1:7" x14ac:dyDescent="0.25">
      <c r="A8" s="197" t="s">
        <v>191</v>
      </c>
      <c r="B8" s="197" t="s">
        <v>192</v>
      </c>
      <c r="C8" s="195">
        <v>3461.5</v>
      </c>
      <c r="D8" s="195">
        <v>-915742.01</v>
      </c>
      <c r="E8" s="195">
        <v>-9603.2547619047618</v>
      </c>
      <c r="F8" s="195">
        <v>-26732</v>
      </c>
      <c r="G8" s="196">
        <v>-1688680.15</v>
      </c>
    </row>
    <row r="9" spans="1:7" x14ac:dyDescent="0.25">
      <c r="A9" s="197" t="s">
        <v>193</v>
      </c>
      <c r="B9" s="197" t="s">
        <v>194</v>
      </c>
      <c r="C9" s="195">
        <v>-411233</v>
      </c>
      <c r="D9" s="195">
        <v>-1191307</v>
      </c>
      <c r="E9" s="195">
        <v>0</v>
      </c>
      <c r="F9" s="195">
        <v>0</v>
      </c>
      <c r="G9" s="196">
        <v>-3979858</v>
      </c>
    </row>
    <row r="10" spans="1:7" x14ac:dyDescent="0.25">
      <c r="A10" s="197" t="s">
        <v>195</v>
      </c>
      <c r="B10" s="197" t="s">
        <v>196</v>
      </c>
      <c r="C10" s="195">
        <v>0</v>
      </c>
      <c r="D10" s="195"/>
      <c r="E10" s="195">
        <v>-3992451</v>
      </c>
      <c r="F10" s="195">
        <v>0</v>
      </c>
      <c r="G10" s="196">
        <v>0</v>
      </c>
    </row>
    <row r="11" spans="1:7" x14ac:dyDescent="0.25">
      <c r="A11" s="197" t="s">
        <v>197</v>
      </c>
      <c r="B11" s="197" t="s">
        <v>198</v>
      </c>
      <c r="C11" s="195">
        <v>0</v>
      </c>
      <c r="D11" s="195">
        <v>-44525894.818782099</v>
      </c>
      <c r="E11" s="195"/>
      <c r="F11" s="195">
        <v>0</v>
      </c>
      <c r="G11" s="196">
        <v>0</v>
      </c>
    </row>
    <row r="12" spans="1:7" x14ac:dyDescent="0.25">
      <c r="A12" s="197" t="s">
        <v>199</v>
      </c>
      <c r="B12" s="197" t="s">
        <v>200</v>
      </c>
      <c r="C12" s="195">
        <v>0</v>
      </c>
      <c r="D12" s="195">
        <v>0</v>
      </c>
      <c r="E12" s="195">
        <v>0</v>
      </c>
      <c r="F12" s="195">
        <v>-782307</v>
      </c>
      <c r="G12" s="196">
        <v>52347</v>
      </c>
    </row>
    <row r="13" spans="1:7" x14ac:dyDescent="0.25">
      <c r="A13" s="197" t="s">
        <v>201</v>
      </c>
      <c r="B13" s="197" t="s">
        <v>202</v>
      </c>
      <c r="C13" s="195"/>
      <c r="D13" s="195"/>
      <c r="E13" s="195"/>
      <c r="F13" s="195">
        <v>97950</v>
      </c>
      <c r="G13" s="196">
        <v>8202</v>
      </c>
    </row>
    <row r="14" spans="1:7" x14ac:dyDescent="0.25">
      <c r="A14" s="197" t="s">
        <v>203</v>
      </c>
      <c r="B14" s="197" t="s">
        <v>204</v>
      </c>
      <c r="C14" s="195">
        <v>-1207152.9357142856</v>
      </c>
      <c r="D14" s="195">
        <v>-1880995</v>
      </c>
      <c r="E14" s="195">
        <v>-873355.43809523806</v>
      </c>
      <c r="F14" s="195">
        <v>-2676844</v>
      </c>
      <c r="G14" s="196">
        <v>-4506123.3523809519</v>
      </c>
    </row>
    <row r="15" spans="1:7" x14ac:dyDescent="0.25">
      <c r="A15" s="197" t="s">
        <v>205</v>
      </c>
      <c r="B15" s="197" t="s">
        <v>206</v>
      </c>
      <c r="C15" s="195">
        <v>0</v>
      </c>
      <c r="D15" s="195"/>
      <c r="E15" s="195">
        <v>0</v>
      </c>
      <c r="F15" s="195">
        <v>0</v>
      </c>
      <c r="G15" s="196">
        <v>0</v>
      </c>
    </row>
    <row r="16" spans="1:7" x14ac:dyDescent="0.25">
      <c r="A16" s="197" t="s">
        <v>207</v>
      </c>
      <c r="B16" s="197" t="s">
        <v>208</v>
      </c>
      <c r="C16" s="195">
        <v>-85169.579999999987</v>
      </c>
      <c r="D16" s="195">
        <v>-218711.90999999997</v>
      </c>
      <c r="E16" s="195">
        <v>-886995.5332551694</v>
      </c>
      <c r="F16" s="195">
        <v>-804646</v>
      </c>
      <c r="G16" s="196">
        <v>-634538.04</v>
      </c>
    </row>
    <row r="17" spans="1:7" x14ac:dyDescent="0.25">
      <c r="A17" s="197" t="s">
        <v>209</v>
      </c>
      <c r="B17" s="197" t="s">
        <v>210</v>
      </c>
      <c r="C17" s="195">
        <v>280404</v>
      </c>
      <c r="D17" s="195">
        <v>151615.00000000023</v>
      </c>
      <c r="E17" s="195">
        <v>451897.79999999987</v>
      </c>
      <c r="F17" s="195">
        <v>962798</v>
      </c>
      <c r="G17" s="196">
        <v>0</v>
      </c>
    </row>
    <row r="18" spans="1:7" x14ac:dyDescent="0.25">
      <c r="A18" s="197" t="s">
        <v>211</v>
      </c>
      <c r="B18" s="197" t="s">
        <v>212</v>
      </c>
      <c r="C18" s="195">
        <v>0</v>
      </c>
      <c r="D18" s="195">
        <v>-54640.000000000233</v>
      </c>
      <c r="E18" s="195">
        <v>-404003.41</v>
      </c>
      <c r="F18" s="195">
        <v>0</v>
      </c>
      <c r="G18" s="196">
        <v>0</v>
      </c>
    </row>
    <row r="19" spans="1:7" x14ac:dyDescent="0.25">
      <c r="A19" s="197" t="s">
        <v>213</v>
      </c>
      <c r="B19" s="197" t="s">
        <v>214</v>
      </c>
      <c r="C19" s="195">
        <v>80858.91</v>
      </c>
      <c r="D19" s="195">
        <v>54270</v>
      </c>
      <c r="E19" s="195">
        <v>790820.93</v>
      </c>
      <c r="F19" s="195">
        <v>61710</v>
      </c>
      <c r="G19" s="196">
        <v>20793</v>
      </c>
    </row>
    <row r="20" spans="1:7" x14ac:dyDescent="0.25">
      <c r="A20" s="197" t="s">
        <v>215</v>
      </c>
      <c r="B20" s="197" t="s">
        <v>216</v>
      </c>
      <c r="C20" s="195">
        <v>0</v>
      </c>
      <c r="D20" s="195"/>
      <c r="E20" s="195">
        <v>0</v>
      </c>
      <c r="F20" s="195">
        <v>0</v>
      </c>
      <c r="G20" s="196">
        <v>0</v>
      </c>
    </row>
    <row r="21" spans="1:7" x14ac:dyDescent="0.25">
      <c r="A21" s="197" t="s">
        <v>217</v>
      </c>
      <c r="B21" s="197" t="s">
        <v>218</v>
      </c>
      <c r="C21" s="195">
        <v>0</v>
      </c>
      <c r="D21" s="195"/>
      <c r="E21" s="195">
        <v>0</v>
      </c>
      <c r="F21" s="195">
        <v>0</v>
      </c>
      <c r="G21" s="196">
        <v>0</v>
      </c>
    </row>
    <row r="22" spans="1:7" x14ac:dyDescent="0.25">
      <c r="A22" s="197" t="s">
        <v>219</v>
      </c>
      <c r="B22" s="197" t="s">
        <v>220</v>
      </c>
      <c r="C22" s="195">
        <v>14897798.990000002</v>
      </c>
      <c r="D22" s="195">
        <v>14538409.470000001</v>
      </c>
      <c r="E22" s="195">
        <v>14320886.799999999</v>
      </c>
      <c r="F22" s="195">
        <v>14627022</v>
      </c>
      <c r="G22" s="196">
        <v>13083594.400000002</v>
      </c>
    </row>
    <row r="23" spans="1:7" x14ac:dyDescent="0.25">
      <c r="A23" s="197" t="s">
        <v>221</v>
      </c>
      <c r="B23" s="197" t="s">
        <v>222</v>
      </c>
      <c r="C23" s="195">
        <v>1037860.54</v>
      </c>
      <c r="D23" s="195">
        <v>-71335.389999999898</v>
      </c>
      <c r="E23" s="195">
        <v>633142.98000000184</v>
      </c>
      <c r="F23" s="195">
        <v>-233636</v>
      </c>
      <c r="G23" s="196">
        <v>1754013.9</v>
      </c>
    </row>
    <row r="24" spans="1:7" x14ac:dyDescent="0.25">
      <c r="A24" s="197" t="s">
        <v>223</v>
      </c>
      <c r="B24" s="197" t="s">
        <v>224</v>
      </c>
      <c r="C24" s="195">
        <v>0</v>
      </c>
      <c r="D24" s="195"/>
      <c r="E24" s="195">
        <v>0</v>
      </c>
      <c r="F24" s="195">
        <v>0</v>
      </c>
      <c r="G24" s="196">
        <v>0</v>
      </c>
    </row>
    <row r="25" spans="1:7" x14ac:dyDescent="0.25">
      <c r="A25" s="197" t="s">
        <v>225</v>
      </c>
      <c r="B25" s="197" t="s">
        <v>226</v>
      </c>
      <c r="C25" s="195">
        <v>0</v>
      </c>
      <c r="D25" s="195">
        <v>1370104.4400000002</v>
      </c>
      <c r="E25" s="195">
        <v>0</v>
      </c>
      <c r="F25" s="195">
        <v>0</v>
      </c>
      <c r="G25" s="196">
        <v>0</v>
      </c>
    </row>
    <row r="26" spans="1:7" x14ac:dyDescent="0.25">
      <c r="A26" s="197" t="s">
        <v>227</v>
      </c>
      <c r="B26" s="197" t="s">
        <v>228</v>
      </c>
      <c r="C26" s="195">
        <v>-1377918</v>
      </c>
      <c r="D26" s="195">
        <v>-170996</v>
      </c>
      <c r="E26" s="195">
        <v>-974174</v>
      </c>
      <c r="F26" s="195">
        <v>-435954</v>
      </c>
      <c r="G26" s="196">
        <v>-827928</v>
      </c>
    </row>
    <row r="27" spans="1:7" x14ac:dyDescent="0.25">
      <c r="A27" s="197" t="s">
        <v>229</v>
      </c>
      <c r="B27" s="197" t="s">
        <v>230</v>
      </c>
      <c r="C27" s="195">
        <v>0</v>
      </c>
      <c r="D27" s="195"/>
      <c r="E27" s="195"/>
      <c r="F27" s="195">
        <v>0</v>
      </c>
      <c r="G27" s="196">
        <v>0</v>
      </c>
    </row>
    <row r="28" spans="1:7" x14ac:dyDescent="0.25">
      <c r="A28" s="197" t="s">
        <v>231</v>
      </c>
      <c r="B28" s="197" t="s">
        <v>232</v>
      </c>
      <c r="C28" s="195">
        <v>0</v>
      </c>
      <c r="D28" s="195"/>
      <c r="E28" s="195"/>
      <c r="F28" s="195">
        <v>0</v>
      </c>
      <c r="G28" s="196">
        <v>0</v>
      </c>
    </row>
    <row r="29" spans="1:7" x14ac:dyDescent="0.25">
      <c r="A29" s="197" t="s">
        <v>233</v>
      </c>
      <c r="B29" s="197" t="s">
        <v>234</v>
      </c>
      <c r="C29" s="195">
        <v>1144984.9882143368</v>
      </c>
      <c r="D29" s="195">
        <v>-2402565.1812179028</v>
      </c>
      <c r="E29" s="195">
        <v>0</v>
      </c>
      <c r="F29" s="195">
        <v>0</v>
      </c>
      <c r="G29" s="196">
        <v>0</v>
      </c>
    </row>
    <row r="30" spans="1:7" x14ac:dyDescent="0.25">
      <c r="A30" s="197" t="s">
        <v>235</v>
      </c>
      <c r="B30" s="197" t="s">
        <v>236</v>
      </c>
      <c r="C30" s="195">
        <v>213585</v>
      </c>
      <c r="D30" s="195">
        <v>769394</v>
      </c>
      <c r="E30" s="195">
        <v>374171</v>
      </c>
      <c r="F30" s="195">
        <v>-32675</v>
      </c>
      <c r="G30" s="196">
        <v>-128621.8600000001</v>
      </c>
    </row>
    <row r="31" spans="1:7" x14ac:dyDescent="0.25">
      <c r="A31" s="197" t="s">
        <v>237</v>
      </c>
      <c r="B31" s="197" t="s">
        <v>238</v>
      </c>
      <c r="C31" s="195">
        <v>-3745691.8</v>
      </c>
      <c r="D31" s="195">
        <v>-3692904.8</v>
      </c>
      <c r="E31" s="195">
        <v>-3600218.8</v>
      </c>
      <c r="F31" s="195">
        <v>-3325296</v>
      </c>
      <c r="G31" s="196">
        <v>-4025045.67</v>
      </c>
    </row>
    <row r="32" spans="1:7" x14ac:dyDescent="0.25">
      <c r="A32" s="194" t="s">
        <v>239</v>
      </c>
      <c r="B32" s="194" t="s">
        <v>240</v>
      </c>
      <c r="C32" s="195"/>
      <c r="D32" s="195"/>
      <c r="E32" s="195"/>
      <c r="F32" s="195"/>
      <c r="G32" s="196"/>
    </row>
    <row r="33" spans="1:7" x14ac:dyDescent="0.25">
      <c r="A33" s="197" t="s">
        <v>241</v>
      </c>
      <c r="B33" s="197" t="s">
        <v>242</v>
      </c>
      <c r="C33" s="195">
        <v>-16895039.761599723</v>
      </c>
      <c r="D33" s="195">
        <v>-8802443.7485039365</v>
      </c>
      <c r="E33" s="195">
        <v>-573072.71174414922</v>
      </c>
      <c r="F33" s="195">
        <v>4198313</v>
      </c>
      <c r="G33" s="196">
        <v>6335624.420000013</v>
      </c>
    </row>
    <row r="34" spans="1:7" x14ac:dyDescent="0.25">
      <c r="A34" s="197" t="s">
        <v>243</v>
      </c>
      <c r="B34" s="197" t="s">
        <v>244</v>
      </c>
      <c r="C34" s="195">
        <v>-15816276.079016753</v>
      </c>
      <c r="D34" s="195">
        <v>-11193066.950396337</v>
      </c>
      <c r="E34" s="195">
        <v>5731285.8948950591</v>
      </c>
      <c r="F34" s="195">
        <v>-5357183</v>
      </c>
      <c r="G34" s="196">
        <v>13284266.232553169</v>
      </c>
    </row>
    <row r="35" spans="1:7" x14ac:dyDescent="0.25">
      <c r="A35" s="197" t="s">
        <v>245</v>
      </c>
      <c r="B35" s="197" t="s">
        <v>246</v>
      </c>
      <c r="C35" s="195">
        <v>-3722015.0320849316</v>
      </c>
      <c r="D35" s="195">
        <v>177454.70000000126</v>
      </c>
      <c r="E35" s="195">
        <v>3664954.8999999985</v>
      </c>
      <c r="F35" s="195">
        <v>179150</v>
      </c>
      <c r="G35" s="196">
        <v>576560.15133199911</v>
      </c>
    </row>
    <row r="36" spans="1:7" x14ac:dyDescent="0.25">
      <c r="A36" s="197" t="s">
        <v>247</v>
      </c>
      <c r="B36" s="197" t="s">
        <v>248</v>
      </c>
      <c r="C36" s="195">
        <v>21849670.260000005</v>
      </c>
      <c r="D36" s="195">
        <v>7936850.4499999955</v>
      </c>
      <c r="E36" s="195">
        <v>-8370281.1285999883</v>
      </c>
      <c r="F36" s="195">
        <v>7844687</v>
      </c>
      <c r="G36" s="196">
        <v>-11910069.256571986</v>
      </c>
    </row>
    <row r="37" spans="1:7" x14ac:dyDescent="0.25">
      <c r="A37" s="197" t="s">
        <v>249</v>
      </c>
      <c r="B37" s="197" t="s">
        <v>250</v>
      </c>
      <c r="C37" s="195">
        <v>27433.970000000671</v>
      </c>
      <c r="D37" s="195">
        <v>-12762863.000000002</v>
      </c>
      <c r="E37" s="195">
        <v>-521955.94999999832</v>
      </c>
      <c r="F37" s="195">
        <v>1235090</v>
      </c>
      <c r="G37" s="196">
        <v>-104837.74000000022</v>
      </c>
    </row>
    <row r="38" spans="1:7" x14ac:dyDescent="0.25">
      <c r="A38" s="199" t="s">
        <v>251</v>
      </c>
      <c r="B38" s="199" t="s">
        <v>252</v>
      </c>
      <c r="C38" s="200">
        <f>SUM(C6:C37)</f>
        <v>-786725.12881929986</v>
      </c>
      <c r="D38" s="200">
        <f>SUM(D6:D37)</f>
        <v>-59007847.142595902</v>
      </c>
      <c r="E38" s="200">
        <f>SUM(E6:E37)</f>
        <v>9624475.8005966283</v>
      </c>
      <c r="F38" s="200">
        <f>SUM(F6:F37)</f>
        <v>18278017</v>
      </c>
      <c r="G38" s="200">
        <f>SUM(G6:G37)</f>
        <v>10850432.104932243</v>
      </c>
    </row>
    <row r="39" spans="1:7" x14ac:dyDescent="0.25">
      <c r="A39" s="197" t="s">
        <v>253</v>
      </c>
      <c r="B39" s="197" t="s">
        <v>254</v>
      </c>
      <c r="C39" s="195">
        <v>-1657221.9</v>
      </c>
      <c r="D39" s="195">
        <v>-2364091.67</v>
      </c>
      <c r="E39" s="195">
        <v>-3121845.49</v>
      </c>
      <c r="F39" s="195">
        <v>-3907534</v>
      </c>
      <c r="G39" s="196">
        <v>-3022108.61</v>
      </c>
    </row>
    <row r="40" spans="1:7" x14ac:dyDescent="0.25">
      <c r="A40" s="197" t="s">
        <v>255</v>
      </c>
      <c r="B40" s="197" t="s">
        <v>256</v>
      </c>
      <c r="C40" s="195">
        <v>-773611.36</v>
      </c>
      <c r="D40" s="195">
        <v>-1044691</v>
      </c>
      <c r="E40" s="195">
        <v>-40792</v>
      </c>
      <c r="F40" s="195">
        <v>152189</v>
      </c>
      <c r="G40" s="196">
        <v>-349107</v>
      </c>
    </row>
    <row r="41" spans="1:7" x14ac:dyDescent="0.25">
      <c r="A41" s="197" t="s">
        <v>257</v>
      </c>
      <c r="B41" s="197" t="s">
        <v>258</v>
      </c>
      <c r="C41" s="195">
        <v>-351839.00138204725</v>
      </c>
      <c r="D41" s="195">
        <v>-446586.93630437052</v>
      </c>
      <c r="E41" s="195">
        <v>-498589.23215801612</v>
      </c>
      <c r="F41" s="195">
        <v>-206402</v>
      </c>
      <c r="G41" s="196">
        <v>-438848.45999999996</v>
      </c>
    </row>
    <row r="42" spans="1:7" x14ac:dyDescent="0.25">
      <c r="A42" s="201" t="s">
        <v>259</v>
      </c>
      <c r="B42" s="201" t="s">
        <v>260</v>
      </c>
      <c r="C42" s="202">
        <f>C4+SUM(C38:C41)</f>
        <v>-1778785.3902013469</v>
      </c>
      <c r="D42" s="202">
        <f>D4+SUM(D38:D41)</f>
        <v>-6738461.8183176219</v>
      </c>
      <c r="E42" s="202">
        <f>E4+SUM(E38:E41)</f>
        <v>827401.91628059372</v>
      </c>
      <c r="F42" s="202">
        <f>F4+SUM(F38:F41)</f>
        <v>3914942</v>
      </c>
      <c r="G42" s="202">
        <f>G4+SUM(G38:G41)</f>
        <v>7193280.224932244</v>
      </c>
    </row>
    <row r="43" spans="1:7" x14ac:dyDescent="0.25">
      <c r="A43" s="203" t="s">
        <v>261</v>
      </c>
      <c r="B43" s="203" t="s">
        <v>262</v>
      </c>
      <c r="C43" s="189"/>
      <c r="D43" s="189"/>
      <c r="E43" s="189"/>
      <c r="F43" s="189"/>
      <c r="G43" s="190"/>
    </row>
    <row r="44" spans="1:7" x14ac:dyDescent="0.25">
      <c r="A44" s="197" t="s">
        <v>263</v>
      </c>
      <c r="B44" s="197" t="s">
        <v>264</v>
      </c>
      <c r="C44" s="195">
        <f>-2328096.42960448-110.57</f>
        <v>-2328206.9996044799</v>
      </c>
      <c r="D44" s="195">
        <v>-4346069.1123646218</v>
      </c>
      <c r="E44" s="195">
        <v>-11406931.319017654</v>
      </c>
      <c r="F44" s="195">
        <v>-17102682</v>
      </c>
      <c r="G44" s="196">
        <v>-17104411.365626775</v>
      </c>
    </row>
    <row r="45" spans="1:7" x14ac:dyDescent="0.25">
      <c r="A45" s="197" t="s">
        <v>265</v>
      </c>
      <c r="B45" s="197" t="s">
        <v>266</v>
      </c>
      <c r="C45" s="195">
        <v>-3164050.75</v>
      </c>
      <c r="D45" s="195"/>
      <c r="E45" s="195">
        <v>0</v>
      </c>
      <c r="F45" s="195">
        <v>0</v>
      </c>
      <c r="G45" s="196">
        <v>0</v>
      </c>
    </row>
    <row r="46" spans="1:7" x14ac:dyDescent="0.25">
      <c r="A46" s="197" t="s">
        <v>267</v>
      </c>
      <c r="B46" s="197" t="s">
        <v>268</v>
      </c>
      <c r="C46" s="195">
        <v>-124275.01363636405</v>
      </c>
      <c r="D46" s="195">
        <v>-154389.82909090893</v>
      </c>
      <c r="E46" s="195">
        <v>-597590.90181818174</v>
      </c>
      <c r="F46" s="195">
        <v>-308129</v>
      </c>
      <c r="G46" s="196">
        <v>-66094.484545454558</v>
      </c>
    </row>
    <row r="47" spans="1:7" x14ac:dyDescent="0.25">
      <c r="A47" s="197" t="s">
        <v>269</v>
      </c>
      <c r="B47" s="197" t="s">
        <v>270</v>
      </c>
      <c r="C47" s="195">
        <v>0</v>
      </c>
      <c r="D47" s="195">
        <v>0</v>
      </c>
      <c r="E47" s="195">
        <v>-2529566</v>
      </c>
      <c r="F47" s="195">
        <v>-128384</v>
      </c>
      <c r="G47" s="196">
        <v>0</v>
      </c>
    </row>
    <row r="48" spans="1:7" x14ac:dyDescent="0.25">
      <c r="A48" s="197" t="s">
        <v>271</v>
      </c>
      <c r="B48" s="197" t="s">
        <v>272</v>
      </c>
      <c r="C48" s="195">
        <v>492997.5</v>
      </c>
      <c r="D48" s="195">
        <v>915736.01</v>
      </c>
      <c r="E48" s="195">
        <v>14000</v>
      </c>
      <c r="F48" s="195">
        <v>1816076</v>
      </c>
      <c r="G48" s="196">
        <v>5713829.8200000003</v>
      </c>
    </row>
    <row r="49" spans="1:7" x14ac:dyDescent="0.25">
      <c r="A49" s="197" t="s">
        <v>273</v>
      </c>
      <c r="B49" s="197" t="s">
        <v>274</v>
      </c>
      <c r="C49" s="195">
        <v>0</v>
      </c>
      <c r="D49" s="195">
        <v>912179.25</v>
      </c>
      <c r="E49" s="195">
        <v>0</v>
      </c>
      <c r="F49" s="195">
        <v>2315700</v>
      </c>
      <c r="G49" s="196">
        <v>0</v>
      </c>
    </row>
    <row r="50" spans="1:7" x14ac:dyDescent="0.25">
      <c r="A50" s="197" t="s">
        <v>275</v>
      </c>
      <c r="B50" s="197" t="s">
        <v>276</v>
      </c>
      <c r="C50" s="195">
        <v>0</v>
      </c>
      <c r="D50" s="195"/>
      <c r="E50" s="195">
        <v>0</v>
      </c>
      <c r="F50" s="195">
        <v>0</v>
      </c>
      <c r="G50" s="196">
        <v>5000.6000000000058</v>
      </c>
    </row>
    <row r="51" spans="1:7" x14ac:dyDescent="0.25">
      <c r="A51" s="197" t="s">
        <v>277</v>
      </c>
      <c r="B51" s="197" t="s">
        <v>278</v>
      </c>
      <c r="C51" s="195">
        <v>0</v>
      </c>
      <c r="D51" s="195">
        <v>70253078</v>
      </c>
      <c r="E51" s="195">
        <v>0</v>
      </c>
      <c r="F51" s="195">
        <v>0</v>
      </c>
      <c r="G51" s="196">
        <v>0</v>
      </c>
    </row>
    <row r="52" spans="1:7" x14ac:dyDescent="0.25">
      <c r="A52" s="197" t="s">
        <v>279</v>
      </c>
      <c r="B52" s="197" t="s">
        <v>280</v>
      </c>
      <c r="C52" s="195"/>
      <c r="D52" s="195"/>
      <c r="E52" s="195"/>
      <c r="F52" s="195">
        <v>782307</v>
      </c>
      <c r="G52" s="196">
        <v>1229722.6500000001</v>
      </c>
    </row>
    <row r="53" spans="1:7" x14ac:dyDescent="0.25">
      <c r="A53" s="197" t="s">
        <v>281</v>
      </c>
      <c r="B53" s="197" t="s">
        <v>282</v>
      </c>
      <c r="C53" s="195">
        <v>0</v>
      </c>
      <c r="D53" s="195"/>
      <c r="E53" s="195">
        <v>0</v>
      </c>
      <c r="F53" s="195">
        <v>0</v>
      </c>
      <c r="G53" s="196">
        <v>0</v>
      </c>
    </row>
    <row r="54" spans="1:7" x14ac:dyDescent="0.25">
      <c r="A54" s="197" t="s">
        <v>283</v>
      </c>
      <c r="B54" s="197" t="s">
        <v>284</v>
      </c>
      <c r="C54" s="195">
        <v>0</v>
      </c>
      <c r="D54" s="195"/>
      <c r="E54" s="195"/>
      <c r="F54" s="195">
        <v>-615991</v>
      </c>
      <c r="G54" s="196">
        <v>0</v>
      </c>
    </row>
    <row r="55" spans="1:7" x14ac:dyDescent="0.25">
      <c r="A55" s="197" t="s">
        <v>285</v>
      </c>
      <c r="B55" s="197" t="s">
        <v>286</v>
      </c>
      <c r="C55" s="195">
        <v>2862617</v>
      </c>
      <c r="D55" s="195">
        <v>2373151</v>
      </c>
      <c r="E55" s="195">
        <v>0</v>
      </c>
      <c r="F55" s="195">
        <v>0</v>
      </c>
      <c r="G55" s="196">
        <v>9356191</v>
      </c>
    </row>
    <row r="56" spans="1:7" x14ac:dyDescent="0.25">
      <c r="A56" s="197" t="s">
        <v>287</v>
      </c>
      <c r="B56" s="197" t="s">
        <v>288</v>
      </c>
      <c r="C56" s="195">
        <v>0</v>
      </c>
      <c r="D56" s="195">
        <v>0</v>
      </c>
      <c r="E56" s="195">
        <v>7752606</v>
      </c>
      <c r="F56" s="195">
        <v>0</v>
      </c>
      <c r="G56" s="196">
        <v>0</v>
      </c>
    </row>
    <row r="57" spans="1:7" x14ac:dyDescent="0.25">
      <c r="A57" s="197" t="s">
        <v>289</v>
      </c>
      <c r="B57" s="197" t="s">
        <v>290</v>
      </c>
      <c r="C57" s="195">
        <v>85169.579999999987</v>
      </c>
      <c r="D57" s="195">
        <v>218701.90999999997</v>
      </c>
      <c r="E57" s="195">
        <v>886988.5332551694</v>
      </c>
      <c r="F57" s="195">
        <v>804646</v>
      </c>
      <c r="G57" s="196">
        <v>634538.04</v>
      </c>
    </row>
    <row r="58" spans="1:7" x14ac:dyDescent="0.25">
      <c r="A58" s="197" t="s">
        <v>291</v>
      </c>
      <c r="B58" s="197" t="s">
        <v>292</v>
      </c>
      <c r="C58" s="195">
        <v>0</v>
      </c>
      <c r="D58" s="195"/>
      <c r="E58" s="195">
        <v>0</v>
      </c>
      <c r="F58" s="195">
        <v>0</v>
      </c>
      <c r="G58" s="196">
        <v>0</v>
      </c>
    </row>
    <row r="59" spans="1:7" x14ac:dyDescent="0.25">
      <c r="A59" s="201" t="s">
        <v>293</v>
      </c>
      <c r="B59" s="201" t="s">
        <v>294</v>
      </c>
      <c r="C59" s="202">
        <f>SUM(C44:C58)</f>
        <v>-2175748.6832408439</v>
      </c>
      <c r="D59" s="202">
        <f>SUM(D44:D58)</f>
        <v>70172387.228544459</v>
      </c>
      <c r="E59" s="202">
        <f>SUM(E44:E58)</f>
        <v>-5880493.6875806674</v>
      </c>
      <c r="F59" s="202">
        <f>SUM(F44:F58)</f>
        <v>-12436457</v>
      </c>
      <c r="G59" s="204">
        <f>SUM(G44:G58)</f>
        <v>-231223.74017222878</v>
      </c>
    </row>
    <row r="60" spans="1:7" x14ac:dyDescent="0.25">
      <c r="A60" s="203" t="s">
        <v>295</v>
      </c>
      <c r="B60" s="203" t="s">
        <v>296</v>
      </c>
      <c r="C60" s="189"/>
      <c r="D60" s="189"/>
      <c r="E60" s="189"/>
      <c r="F60" s="189"/>
      <c r="G60" s="190"/>
    </row>
    <row r="61" spans="1:7" x14ac:dyDescent="0.25">
      <c r="A61" s="197" t="s">
        <v>297</v>
      </c>
      <c r="B61" s="197" t="s">
        <v>298</v>
      </c>
      <c r="C61" s="195">
        <v>3497754.843974987</v>
      </c>
      <c r="D61" s="195">
        <v>3505104.5485039167</v>
      </c>
      <c r="E61" s="195">
        <v>-6148358.4971698355</v>
      </c>
      <c r="F61" s="195">
        <v>-8102142</v>
      </c>
      <c r="G61" s="196">
        <v>2402558.2599999993</v>
      </c>
    </row>
    <row r="62" spans="1:7" x14ac:dyDescent="0.25">
      <c r="A62" s="197" t="s">
        <v>299</v>
      </c>
      <c r="B62" s="197" t="s">
        <v>300</v>
      </c>
      <c r="C62" s="195">
        <v>-9739.1023752689307</v>
      </c>
      <c r="D62" s="195">
        <v>0</v>
      </c>
      <c r="E62" s="195">
        <v>0</v>
      </c>
      <c r="F62" s="195">
        <v>-97975</v>
      </c>
      <c r="G62" s="196">
        <v>-84284.12999999999</v>
      </c>
    </row>
    <row r="63" spans="1:7" x14ac:dyDescent="0.25">
      <c r="A63" s="197" t="s">
        <v>301</v>
      </c>
      <c r="B63" s="197" t="s">
        <v>302</v>
      </c>
      <c r="C63" s="195">
        <v>-2641220.96</v>
      </c>
      <c r="D63" s="195">
        <v>-10666862.290000001</v>
      </c>
      <c r="E63" s="195">
        <v>-28951452.109999999</v>
      </c>
      <c r="F63" s="195">
        <v>-2641220</v>
      </c>
      <c r="G63" s="196"/>
    </row>
    <row r="64" spans="1:7" x14ac:dyDescent="0.25">
      <c r="A64" s="201" t="s">
        <v>303</v>
      </c>
      <c r="B64" s="201" t="s">
        <v>304</v>
      </c>
      <c r="C64" s="202">
        <f>SUM(C61:C63)</f>
        <v>846794.78159971815</v>
      </c>
      <c r="D64" s="202">
        <f>SUM(D61:D63)</f>
        <v>-7161757.7414960843</v>
      </c>
      <c r="E64" s="202">
        <f>SUM(E61:E63)</f>
        <v>-35099810.607169837</v>
      </c>
      <c r="F64" s="202">
        <f>SUM(F61:F63)</f>
        <v>-10841337</v>
      </c>
      <c r="G64" s="204">
        <f>SUM(G61:G63)</f>
        <v>2318274.1299999994</v>
      </c>
    </row>
    <row r="65" spans="1:7" ht="30" x14ac:dyDescent="0.25">
      <c r="A65" s="194" t="s">
        <v>305</v>
      </c>
      <c r="B65" s="194" t="s">
        <v>306</v>
      </c>
      <c r="C65" s="205">
        <f>C64+C59+C42</f>
        <v>-3107739.2918424727</v>
      </c>
      <c r="D65" s="205">
        <f>D64+D59+D42</f>
        <v>56272167.668730751</v>
      </c>
      <c r="E65" s="205">
        <f>E64+E59+E42</f>
        <v>-40152902.378469914</v>
      </c>
      <c r="F65" s="205">
        <f>F64+F59+F42</f>
        <v>-19362852</v>
      </c>
      <c r="G65" s="206">
        <f>G64+G59+G42</f>
        <v>9280330.6147600152</v>
      </c>
    </row>
    <row r="66" spans="1:7" x14ac:dyDescent="0.25">
      <c r="A66" s="207" t="s">
        <v>307</v>
      </c>
      <c r="B66" s="207" t="s">
        <v>308</v>
      </c>
      <c r="C66" s="205">
        <v>0</v>
      </c>
      <c r="D66" s="205">
        <v>0</v>
      </c>
      <c r="E66" s="205">
        <v>0</v>
      </c>
      <c r="F66" s="205">
        <v>0</v>
      </c>
      <c r="G66" s="206">
        <v>0</v>
      </c>
    </row>
    <row r="67" spans="1:7" x14ac:dyDescent="0.25">
      <c r="A67" s="194" t="s">
        <v>309</v>
      </c>
      <c r="B67" s="194" t="s">
        <v>306</v>
      </c>
      <c r="C67" s="200">
        <f>C65+C66</f>
        <v>-3107739.2918424727</v>
      </c>
      <c r="D67" s="200">
        <f>D65+D66</f>
        <v>56272167.668730751</v>
      </c>
      <c r="E67" s="200">
        <f>E65+E66</f>
        <v>-40152902.378469914</v>
      </c>
      <c r="F67" s="200">
        <f>F65+F66</f>
        <v>-19362852</v>
      </c>
      <c r="G67" s="208">
        <f>G65+G66</f>
        <v>9280330.6147600152</v>
      </c>
    </row>
    <row r="68" spans="1:7" x14ac:dyDescent="0.25">
      <c r="A68" s="194" t="s">
        <v>310</v>
      </c>
      <c r="B68" s="194" t="s">
        <v>61</v>
      </c>
      <c r="C68" s="209">
        <v>20704632</v>
      </c>
      <c r="D68" s="209">
        <f>C69</f>
        <v>17596892.708157528</v>
      </c>
      <c r="E68" s="209">
        <f>D69</f>
        <v>73869060.376888275</v>
      </c>
      <c r="F68" s="209">
        <f>E69</f>
        <v>33716157.998418361</v>
      </c>
      <c r="G68" s="210">
        <f>F69</f>
        <v>14353305.998418361</v>
      </c>
    </row>
    <row r="69" spans="1:7" x14ac:dyDescent="0.25">
      <c r="A69" s="194" t="s">
        <v>311</v>
      </c>
      <c r="B69" s="194" t="s">
        <v>312</v>
      </c>
      <c r="C69" s="209">
        <f t="shared" ref="C69:G69" si="0">C65+C68</f>
        <v>17596892.708157528</v>
      </c>
      <c r="D69" s="209">
        <f t="shared" si="0"/>
        <v>73869060.376888275</v>
      </c>
      <c r="E69" s="209">
        <f t="shared" si="0"/>
        <v>33716157.998418361</v>
      </c>
      <c r="F69" s="209">
        <f t="shared" si="0"/>
        <v>14353305.998418361</v>
      </c>
      <c r="G69" s="210">
        <f t="shared" si="0"/>
        <v>23633636.613178376</v>
      </c>
    </row>
    <row r="70" spans="1:7" ht="15.75" thickBot="1" x14ac:dyDescent="0.3">
      <c r="B70" s="211"/>
      <c r="C70" s="4"/>
      <c r="D70" s="4"/>
      <c r="E70" s="4"/>
      <c r="F70" s="4"/>
      <c r="G70" s="212"/>
    </row>
    <row r="71" spans="1:7" x14ac:dyDescent="0.25">
      <c r="A71" s="213"/>
      <c r="G71" s="19"/>
    </row>
    <row r="72" spans="1:7" x14ac:dyDescent="0.25">
      <c r="A72" s="213"/>
      <c r="C72" s="145">
        <f>C69-'1.FinancialPosition'!C16</f>
        <v>-0.29096447303891182</v>
      </c>
      <c r="D72" s="145">
        <f>D69-'1.FinancialPosition'!D16</f>
        <v>-0.62311172485351563</v>
      </c>
      <c r="E72" s="145">
        <f>E69-'1.FinancialPosition'!E16</f>
        <v>-1.5816390514373779E-3</v>
      </c>
      <c r="F72" s="145">
        <f>F69-'1.FinancialPosition'!F16</f>
        <v>-1.5816390514373779E-3</v>
      </c>
      <c r="G72" s="145">
        <f>G69-'1.FinancialPosition'!G16</f>
        <v>-0.38682162389159203</v>
      </c>
    </row>
    <row r="73" spans="1:7" x14ac:dyDescent="0.25">
      <c r="C73" s="214">
        <f>C4-'2.Comprehensive income'!C24</f>
        <v>0.89959638379514217</v>
      </c>
      <c r="D73" s="214">
        <f>D4-'2.Comprehensive income'!D24</f>
        <v>0.11688701808452606</v>
      </c>
      <c r="E73" s="214">
        <f>E4-'2.Comprehensive income'!E24</f>
        <v>-0.16215801797807217</v>
      </c>
      <c r="F73" s="214">
        <f>F4-'2.Comprehensive income'!F24</f>
        <v>0</v>
      </c>
      <c r="G73" s="214">
        <f>G4-'2.Comprehensive income'!G24</f>
        <v>1.1900000004097819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U57"/>
  <sheetViews>
    <sheetView showGridLines="0" zoomScale="80" zoomScaleNormal="8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L19" sqref="L19"/>
    </sheetView>
  </sheetViews>
  <sheetFormatPr defaultColWidth="9.140625" defaultRowHeight="15" x14ac:dyDescent="0.25"/>
  <cols>
    <col min="1" max="1" width="4.140625" style="1" customWidth="1"/>
    <col min="2" max="2" width="33.5703125" style="1" customWidth="1"/>
    <col min="3" max="3" width="41.42578125" style="1" customWidth="1"/>
    <col min="4" max="4" width="13.140625" style="1" bestFit="1" customWidth="1"/>
    <col min="5" max="6" width="13.140625" style="1" customWidth="1"/>
    <col min="7" max="7" width="13" style="1" bestFit="1" customWidth="1"/>
    <col min="8" max="8" width="13.7109375" style="1" bestFit="1" customWidth="1"/>
    <col min="9" max="9" width="4.5703125" style="1" customWidth="1"/>
    <col min="10" max="10" width="3.140625" style="1" customWidth="1"/>
    <col min="11" max="11" width="14.42578125" style="1" bestFit="1" customWidth="1"/>
    <col min="12" max="12" width="15.5703125" style="123" bestFit="1" customWidth="1"/>
    <col min="13" max="13" width="16.140625" style="123" bestFit="1" customWidth="1"/>
    <col min="14" max="14" width="15.5703125" style="123" bestFit="1" customWidth="1"/>
    <col min="15" max="15" width="9.140625" style="1"/>
    <col min="16" max="17" width="14.5703125" style="1" bestFit="1" customWidth="1"/>
    <col min="18" max="18" width="16.5703125" style="1" bestFit="1" customWidth="1"/>
    <col min="19" max="16384" width="9.140625" style="1"/>
  </cols>
  <sheetData>
    <row r="2" spans="2:21" ht="15.75" thickBot="1" x14ac:dyDescent="0.3"/>
    <row r="3" spans="2:21" ht="24.75" customHeight="1" thickBot="1" x14ac:dyDescent="0.3">
      <c r="B3" s="162" t="s">
        <v>0</v>
      </c>
      <c r="C3" s="162" t="s">
        <v>27</v>
      </c>
      <c r="D3" s="158">
        <f>'1.FinancialPosition'!C3</f>
        <v>2021</v>
      </c>
      <c r="E3" s="158">
        <f>D3+1</f>
        <v>2022</v>
      </c>
      <c r="F3" s="158">
        <f t="shared" ref="F3:H3" si="0">E3+1</f>
        <v>2023</v>
      </c>
      <c r="G3" s="158">
        <f t="shared" si="0"/>
        <v>2024</v>
      </c>
      <c r="H3" s="158">
        <f t="shared" si="0"/>
        <v>2025</v>
      </c>
    </row>
    <row r="4" spans="2:21" x14ac:dyDescent="0.25">
      <c r="B4" s="1" t="s">
        <v>28</v>
      </c>
      <c r="C4" s="2" t="s">
        <v>42</v>
      </c>
      <c r="D4" s="2">
        <f>'EBIT-EBITDA'!C7</f>
        <v>4376486.4117873721</v>
      </c>
      <c r="E4" s="2">
        <f>'EBIT-EBITDA'!D7</f>
        <v>59555688.483695634</v>
      </c>
      <c r="F4" s="2">
        <f>'EBIT-EBITDA'!E7</f>
        <v>-1771010.5099999998</v>
      </c>
      <c r="G4" s="2">
        <f>'EBIT-EBITDA'!F7</f>
        <v>-7861161</v>
      </c>
      <c r="H4" s="160">
        <f>'EBIT-EBITDA'!G7</f>
        <v>3254796</v>
      </c>
      <c r="O4" s="125"/>
      <c r="P4" s="125"/>
      <c r="Q4" s="125"/>
      <c r="R4" s="125"/>
    </row>
    <row r="5" spans="2:21" x14ac:dyDescent="0.25">
      <c r="B5" s="1" t="s">
        <v>26</v>
      </c>
      <c r="C5" s="2" t="s">
        <v>42</v>
      </c>
      <c r="D5" s="2">
        <f>'EBIT-EBITDA'!C10</f>
        <v>15528593.601787373</v>
      </c>
      <c r="E5" s="2">
        <f>'EBIT-EBITDA'!D10</f>
        <v>70401193.153695643</v>
      </c>
      <c r="F5" s="2">
        <f>'EBIT-EBITDA'!E10</f>
        <v>8949657.4899999984</v>
      </c>
      <c r="G5" s="2">
        <f>'EBIT-EBITDA'!F10</f>
        <v>3440565</v>
      </c>
      <c r="H5" s="160">
        <f>'EBIT-EBITDA'!G10</f>
        <v>12313345</v>
      </c>
      <c r="O5" s="125"/>
      <c r="P5" s="125"/>
      <c r="Q5" s="125"/>
      <c r="R5" s="125"/>
    </row>
    <row r="6" spans="2:21" x14ac:dyDescent="0.25">
      <c r="B6" s="1" t="s">
        <v>29</v>
      </c>
      <c r="C6" s="2" t="s">
        <v>125</v>
      </c>
      <c r="D6" s="2">
        <f>'2.Comprehensive income'!C54</f>
        <v>341864785.33173025</v>
      </c>
      <c r="E6" s="2">
        <f>'2.Comprehensive income'!D54</f>
        <v>382579913.88069999</v>
      </c>
      <c r="F6" s="2">
        <f>'2.Comprehensive income'!E54</f>
        <v>305187373.14759028</v>
      </c>
      <c r="G6" s="2">
        <f>'2.Comprehensive income'!F54</f>
        <v>307775351.87198079</v>
      </c>
      <c r="H6" s="160">
        <f>'2.Comprehensive income'!G54</f>
        <v>259715708</v>
      </c>
      <c r="O6" s="125"/>
      <c r="P6" s="125"/>
      <c r="Q6" s="125"/>
      <c r="R6" s="125"/>
    </row>
    <row r="7" spans="2:21" x14ac:dyDescent="0.25">
      <c r="B7" s="1" t="s">
        <v>30</v>
      </c>
      <c r="C7" s="2" t="s">
        <v>43</v>
      </c>
      <c r="D7" s="7">
        <f>D5/D6</f>
        <v>4.5423203172912714E-2</v>
      </c>
      <c r="E7" s="7">
        <f t="shared" ref="E7:F7" si="1">E5/E6</f>
        <v>0.18401696116134542</v>
      </c>
      <c r="F7" s="7">
        <f t="shared" si="1"/>
        <v>2.93251237680528E-2</v>
      </c>
      <c r="G7" s="7">
        <f t="shared" ref="G7:H7" si="2">G5/G6</f>
        <v>1.1178819158433141E-2</v>
      </c>
      <c r="H7" s="169">
        <f t="shared" si="2"/>
        <v>4.7410859723586683E-2</v>
      </c>
      <c r="L7" s="124"/>
      <c r="M7" s="124"/>
      <c r="N7" s="124"/>
      <c r="O7" s="125"/>
      <c r="P7" s="135"/>
      <c r="Q7" s="135"/>
      <c r="R7" s="135"/>
    </row>
    <row r="8" spans="2:21" x14ac:dyDescent="0.25">
      <c r="B8" s="1" t="s">
        <v>31</v>
      </c>
      <c r="C8" s="1" t="s">
        <v>44</v>
      </c>
      <c r="D8" s="7">
        <f>D5/'1.FinancialPosition'!C26</f>
        <v>0.11178070144170831</v>
      </c>
      <c r="E8" s="7">
        <f>E5/'1.FinancialPosition'!D26</f>
        <v>0.4149050507574723</v>
      </c>
      <c r="F8" s="7">
        <f>F5/'1.FinancialPosition'!E26</f>
        <v>5.8861975250400524E-2</v>
      </c>
      <c r="G8" s="7">
        <f>G5/'1.FinancialPosition'!F26</f>
        <v>2.4714787722804665E-2</v>
      </c>
      <c r="H8" s="169">
        <f>H5/'1.FinancialPosition'!G26</f>
        <v>8.9376705063482179E-2</v>
      </c>
      <c r="L8" s="124"/>
      <c r="M8" s="124"/>
      <c r="N8" s="124"/>
      <c r="O8" s="125"/>
      <c r="P8" s="135"/>
      <c r="Q8" s="135"/>
      <c r="R8" s="135"/>
    </row>
    <row r="9" spans="2:21" x14ac:dyDescent="0.25">
      <c r="B9" s="1" t="s">
        <v>32</v>
      </c>
      <c r="C9" s="1" t="s">
        <v>45</v>
      </c>
      <c r="D9" s="7">
        <f>'2.Comprehensive income'!C19/D6</f>
        <v>7.9542106366665404E-3</v>
      </c>
      <c r="E9" s="7">
        <f>'2.Comprehensive income'!D19/E6</f>
        <v>0.1494892824706153</v>
      </c>
      <c r="F9" s="7">
        <f>'2.Comprehensive income'!E19/F6</f>
        <v>-1.603230156456633E-2</v>
      </c>
      <c r="G9" s="7">
        <f>'2.Comprehensive income'!F19/G6</f>
        <v>-3.8237938575715419E-2</v>
      </c>
      <c r="H9" s="169">
        <f>'2.Comprehensive income'!G19/H6</f>
        <v>8.959296370321968E-4</v>
      </c>
      <c r="L9" s="124"/>
      <c r="M9" s="124"/>
      <c r="N9" s="124"/>
      <c r="O9" s="125"/>
      <c r="P9" s="135"/>
      <c r="Q9" s="135"/>
      <c r="R9" s="135"/>
    </row>
    <row r="10" spans="2:21" x14ac:dyDescent="0.25">
      <c r="B10" s="1" t="s">
        <v>33</v>
      </c>
      <c r="C10" s="1" t="s">
        <v>46</v>
      </c>
      <c r="D10" s="8">
        <f>'1.FinancialPosition'!C18/'1.FinancialPosition'!C37</f>
        <v>1.0296791115725874</v>
      </c>
      <c r="E10" s="8">
        <f>'1.FinancialPosition'!D18/'1.FinancialPosition'!D37</f>
        <v>1.4179945233256319</v>
      </c>
      <c r="F10" s="8">
        <f>'1.FinancialPosition'!E18/'1.FinancialPosition'!E37</f>
        <v>1.3835630589700565</v>
      </c>
      <c r="G10" s="8">
        <f>'1.FinancialPosition'!F18/'1.FinancialPosition'!F37</f>
        <v>1.1433885990454455</v>
      </c>
      <c r="H10" s="170">
        <f>'1.FinancialPosition'!G18/'1.FinancialPosition'!G37</f>
        <v>1.1534926030882209</v>
      </c>
      <c r="O10" s="125"/>
      <c r="P10" s="135"/>
      <c r="Q10" s="135"/>
      <c r="R10" s="135"/>
    </row>
    <row r="11" spans="2:21" x14ac:dyDescent="0.25">
      <c r="B11" s="1" t="s">
        <v>34</v>
      </c>
      <c r="C11" s="1" t="s">
        <v>47</v>
      </c>
      <c r="D11" s="8">
        <f>('1.FinancialPosition'!C18-'1.FinancialPosition'!C12)/'1.FinancialPosition'!C37</f>
        <v>0.60998153895799923</v>
      </c>
      <c r="E11" s="8">
        <f>('1.FinancialPosition'!D18-'1.FinancialPosition'!D12)/'1.FinancialPosition'!D37</f>
        <v>0.97210001106620991</v>
      </c>
      <c r="F11" s="8">
        <f>('1.FinancialPosition'!E18-'1.FinancialPosition'!E12)/'1.FinancialPosition'!E37</f>
        <v>0.85996699261255716</v>
      </c>
      <c r="G11" s="8">
        <f>('1.FinancialPosition'!F18-'1.FinancialPosition'!F12)/'1.FinancialPosition'!F37</f>
        <v>0.60573171475433396</v>
      </c>
      <c r="H11" s="170">
        <f>('1.FinancialPosition'!G18-'1.FinancialPosition'!G12)/'1.FinancialPosition'!G37</f>
        <v>0.67017925476057838</v>
      </c>
      <c r="O11" s="125"/>
      <c r="P11" s="135"/>
      <c r="Q11" s="135"/>
      <c r="R11" s="135"/>
      <c r="U11" s="125"/>
    </row>
    <row r="12" spans="2:21" x14ac:dyDescent="0.25">
      <c r="B12" s="1" t="s">
        <v>40</v>
      </c>
      <c r="C12" s="1" t="s">
        <v>48</v>
      </c>
      <c r="D12" s="9">
        <f>'1.FinancialPosition'!C32/'1.FinancialPosition'!C26</f>
        <v>0.23258911608288899</v>
      </c>
      <c r="E12" s="9">
        <f>'1.FinancialPosition'!D32/'1.FinancialPosition'!D26</f>
        <v>0.15699548912147707</v>
      </c>
      <c r="F12" s="9">
        <f>'1.FinancialPosition'!E32/'1.FinancialPosition'!E26</f>
        <v>0.17412760122996376</v>
      </c>
      <c r="G12" s="9">
        <f>'1.FinancialPosition'!F32/'1.FinancialPosition'!F26</f>
        <v>0.12133396848527217</v>
      </c>
      <c r="H12" s="171">
        <f>'1.FinancialPosition'!G32/'1.FinancialPosition'!G26</f>
        <v>0.11950371528981281</v>
      </c>
      <c r="O12" s="125"/>
      <c r="P12" s="135"/>
      <c r="Q12" s="135"/>
      <c r="R12" s="135"/>
    </row>
    <row r="13" spans="2:21" x14ac:dyDescent="0.25">
      <c r="B13" s="1" t="s">
        <v>41</v>
      </c>
      <c r="C13" s="1" t="s">
        <v>49</v>
      </c>
      <c r="D13" s="9">
        <f>'1.FinancialPosition'!C38/'1.FinancialPosition'!C39</f>
        <v>0.53971049111202019</v>
      </c>
      <c r="E13" s="9">
        <f>'1.FinancialPosition'!D38/'1.FinancialPosition'!D39</f>
        <v>0.50690332579091435</v>
      </c>
      <c r="F13" s="9">
        <f>'1.FinancialPosition'!E38/'1.FinancialPosition'!E39</f>
        <v>0.48031455343328772</v>
      </c>
      <c r="G13" s="9">
        <f>'1.FinancialPosition'!F38/'1.FinancialPosition'!F39</f>
        <v>0.49440987759979488</v>
      </c>
      <c r="H13" s="171">
        <f>'1.FinancialPosition'!G38/'1.FinancialPosition'!G39</f>
        <v>0.46888513942628907</v>
      </c>
      <c r="O13" s="125"/>
      <c r="P13" s="135"/>
      <c r="Q13" s="135"/>
      <c r="R13" s="135"/>
    </row>
    <row r="14" spans="2:21" x14ac:dyDescent="0.25">
      <c r="B14" s="1" t="s">
        <v>74</v>
      </c>
      <c r="C14" s="1" t="s">
        <v>50</v>
      </c>
      <c r="D14" s="8">
        <f>'EBIT-EBITDA'!C7/'EBIT-EBITDA'!C6</f>
        <v>2.6408572151909002</v>
      </c>
      <c r="E14" s="8">
        <f>'EBIT-EBITDA'!D7/'EBIT-EBITDA'!D6</f>
        <v>25.191784751602139</v>
      </c>
      <c r="F14" s="8">
        <f>'EBIT-EBITDA'!E7/'EBIT-EBITDA'!E6</f>
        <v>-0.56729601630604709</v>
      </c>
      <c r="G14" s="8">
        <f>'EBIT-EBITDA'!F7/'EBIT-EBITDA'!F6</f>
        <v>-2.0117959306304178</v>
      </c>
      <c r="H14" s="170">
        <f>'EBIT-EBITDA'!G7/'EBIT-EBITDA'!G6</f>
        <v>1.0769949065371236</v>
      </c>
      <c r="O14" s="125"/>
      <c r="P14" s="135"/>
      <c r="Q14" s="135"/>
      <c r="R14" s="135"/>
    </row>
    <row r="15" spans="2:21" x14ac:dyDescent="0.25">
      <c r="B15" s="1" t="s">
        <v>35</v>
      </c>
      <c r="C15" s="1" t="s">
        <v>51</v>
      </c>
      <c r="D15" s="32">
        <f>(29728000+'1.FinancialPosition'!C13)/2/D6*360</f>
        <v>43.586829310108676</v>
      </c>
      <c r="E15" s="32">
        <f>('1.FinancialPosition'!C13+'1.FinancialPosition'!D13)/2/E6*360</f>
        <v>53.651736488684875</v>
      </c>
      <c r="F15" s="32">
        <f>('1.FinancialPosition'!D13+'1.FinancialPosition'!E13)/2/F6*360</f>
        <v>71.611768844154639</v>
      </c>
      <c r="G15" s="32">
        <f>('1.FinancialPosition'!E13+'1.FinancialPosition'!F13)/2/G6*360</f>
        <v>66.98446985636231</v>
      </c>
      <c r="H15" s="172">
        <f>('1.FinancialPosition'!F13+'1.FinancialPosition'!G13)/2/H6*360</f>
        <v>68.634592944990459</v>
      </c>
      <c r="O15" s="125"/>
      <c r="P15" s="135"/>
      <c r="Q15" s="135"/>
      <c r="R15" s="135"/>
    </row>
    <row r="16" spans="2:21" x14ac:dyDescent="0.25">
      <c r="B16" s="1" t="s">
        <v>36</v>
      </c>
      <c r="C16" s="1" t="s">
        <v>52</v>
      </c>
      <c r="D16" s="32">
        <f>(33351000+'1.FinancialPosition'!C33)/2/D6*360</f>
        <v>46.637209322406513</v>
      </c>
      <c r="E16" s="32">
        <f>('1.FinancialPosition'!C33+'1.FinancialPosition'!D33)/2/E6*360</f>
        <v>55.699501882684892</v>
      </c>
      <c r="F16" s="32">
        <f>('1.FinancialPosition'!D33+'1.FinancialPosition'!E33)/2/F6*360</f>
        <v>60.282077106456669</v>
      </c>
      <c r="G16" s="32">
        <f>('1.FinancialPosition'!E33+'1.FinancialPosition'!F33)/2/G6*360</f>
        <v>49.848605246275795</v>
      </c>
      <c r="H16" s="172">
        <f>('1.FinancialPosition'!F33+'1.FinancialPosition'!G33)/2/H6*360</f>
        <v>56.231328988387567</v>
      </c>
      <c r="O16" s="125"/>
      <c r="P16" s="135"/>
      <c r="Q16" s="135"/>
      <c r="R16" s="135"/>
    </row>
    <row r="17" spans="2:18" x14ac:dyDescent="0.25">
      <c r="B17" s="1" t="s">
        <v>37</v>
      </c>
      <c r="C17" s="1" t="s">
        <v>53</v>
      </c>
      <c r="D17" s="7">
        <f>'2.Comprehensive income'!C21/'1.FinancialPosition'!C19</f>
        <v>5.932903726509774E-3</v>
      </c>
      <c r="E17" s="7">
        <f>'2.Comprehensive income'!D21/'1.FinancialPosition'!D19</f>
        <v>0.16310047737631933</v>
      </c>
      <c r="F17" s="7">
        <f>'2.Comprehensive income'!E21/'1.FinancialPosition'!E19</f>
        <v>-1.755420028489306E-2</v>
      </c>
      <c r="G17" s="7">
        <f>'2.Comprehensive income'!F21/'1.FinancialPosition'!F19</f>
        <v>-3.7775871292189615E-2</v>
      </c>
      <c r="H17" s="169">
        <f>'2.Comprehensive income'!G21/'1.FinancialPosition'!G19</f>
        <v>5.8948868553818957E-4</v>
      </c>
      <c r="L17" s="7"/>
      <c r="N17" s="7"/>
      <c r="O17" s="125"/>
      <c r="P17" s="135"/>
      <c r="Q17" s="135"/>
      <c r="R17" s="135"/>
    </row>
    <row r="18" spans="2:18" x14ac:dyDescent="0.25">
      <c r="B18" s="1" t="s">
        <v>38</v>
      </c>
      <c r="C18" s="1" t="s">
        <v>54</v>
      </c>
      <c r="D18" s="7">
        <f>'2.Comprehensive income'!C21/'1.FinancialPosition'!C26</f>
        <v>1.288950454872956E-2</v>
      </c>
      <c r="E18" s="7">
        <f>'2.Comprehensive income'!D21/'1.FinancialPosition'!D26</f>
        <v>0.33076774982903362</v>
      </c>
      <c r="F18" s="7">
        <f>'2.Comprehensive income'!E21/'1.FinancialPosition'!E26</f>
        <v>-3.3778510444855449E-2</v>
      </c>
      <c r="G18" s="7">
        <f>'2.Comprehensive income'!F21/'1.FinancialPosition'!F26</f>
        <v>-7.4716394997700789E-2</v>
      </c>
      <c r="H18" s="169">
        <f>'2.Comprehensive income'!G21/'1.FinancialPosition'!G26</f>
        <v>1.1099080995425794E-3</v>
      </c>
      <c r="L18" s="7"/>
      <c r="N18" s="7"/>
      <c r="O18" s="125"/>
      <c r="P18" s="135"/>
      <c r="Q18" s="135"/>
      <c r="R18" s="135"/>
    </row>
    <row r="19" spans="2:18" x14ac:dyDescent="0.25">
      <c r="B19" s="1" t="s">
        <v>39</v>
      </c>
      <c r="C19" s="1" t="s">
        <v>55</v>
      </c>
      <c r="D19" s="7">
        <f>'2.Comprehensive income'!C21/D6</f>
        <v>5.2377787611258136E-3</v>
      </c>
      <c r="E19" s="7">
        <f>'2.Comprehensive income'!D21/E6</f>
        <v>0.14670073565649092</v>
      </c>
      <c r="F19" s="7">
        <f>'2.Comprehensive income'!E21/F6</f>
        <v>-1.6828504230141515E-2</v>
      </c>
      <c r="G19" s="7">
        <f>'2.Comprehensive income'!F21/G6</f>
        <v>-3.3795194893730264E-2</v>
      </c>
      <c r="H19" s="169">
        <f>'2.Comprehensive income'!G21/H6</f>
        <v>5.8876300235178691E-4</v>
      </c>
      <c r="L19" s="7"/>
      <c r="N19" s="7"/>
      <c r="O19" s="125"/>
      <c r="P19" s="135"/>
      <c r="Q19" s="135"/>
      <c r="R19" s="135"/>
    </row>
    <row r="20" spans="2:18" x14ac:dyDescent="0.25">
      <c r="D20" s="123"/>
      <c r="E20" s="123"/>
      <c r="F20" s="123"/>
      <c r="G20" s="123"/>
      <c r="H20" s="123"/>
    </row>
    <row r="21" spans="2:18" x14ac:dyDescent="0.25">
      <c r="B21" s="5" t="s">
        <v>24</v>
      </c>
    </row>
    <row r="40" spans="4:8" x14ac:dyDescent="0.25">
      <c r="D40" s="184"/>
      <c r="E40" s="184"/>
      <c r="F40" s="184"/>
      <c r="G40" s="184"/>
      <c r="H40" s="184"/>
    </row>
    <row r="41" spans="4:8" x14ac:dyDescent="0.25">
      <c r="D41" s="184"/>
      <c r="E41" s="184"/>
      <c r="F41" s="184"/>
      <c r="G41" s="184"/>
      <c r="H41" s="184"/>
    </row>
    <row r="42" spans="4:8" x14ac:dyDescent="0.25">
      <c r="D42" s="184"/>
      <c r="E42" s="184"/>
      <c r="F42" s="184"/>
      <c r="G42" s="184"/>
      <c r="H42" s="184"/>
    </row>
    <row r="43" spans="4:8" x14ac:dyDescent="0.25">
      <c r="D43" s="184"/>
      <c r="E43" s="184"/>
      <c r="F43" s="184"/>
      <c r="G43" s="184"/>
      <c r="H43" s="184"/>
    </row>
    <row r="44" spans="4:8" x14ac:dyDescent="0.25">
      <c r="D44" s="184"/>
      <c r="E44" s="184"/>
      <c r="F44" s="184"/>
      <c r="G44" s="184"/>
      <c r="H44" s="184"/>
    </row>
    <row r="45" spans="4:8" x14ac:dyDescent="0.25">
      <c r="D45" s="184"/>
      <c r="E45" s="184"/>
      <c r="F45" s="184"/>
      <c r="G45" s="184"/>
      <c r="H45" s="184"/>
    </row>
    <row r="46" spans="4:8" x14ac:dyDescent="0.25">
      <c r="D46" s="184"/>
      <c r="E46" s="184"/>
      <c r="F46" s="184"/>
      <c r="G46" s="184"/>
      <c r="H46" s="184"/>
    </row>
    <row r="47" spans="4:8" x14ac:dyDescent="0.25">
      <c r="D47" s="184"/>
      <c r="E47" s="184"/>
      <c r="F47" s="184"/>
      <c r="G47" s="184"/>
      <c r="H47" s="184"/>
    </row>
    <row r="48" spans="4:8" x14ac:dyDescent="0.25">
      <c r="D48" s="184"/>
      <c r="E48" s="184"/>
      <c r="F48" s="184"/>
      <c r="G48" s="184"/>
      <c r="H48" s="184"/>
    </row>
    <row r="49" spans="4:8" x14ac:dyDescent="0.25">
      <c r="D49" s="184"/>
      <c r="E49" s="184"/>
      <c r="F49" s="184"/>
      <c r="G49" s="184"/>
      <c r="H49" s="184"/>
    </row>
    <row r="50" spans="4:8" x14ac:dyDescent="0.25">
      <c r="D50" s="184"/>
      <c r="E50" s="184"/>
      <c r="F50" s="184"/>
      <c r="G50" s="184"/>
      <c r="H50" s="184"/>
    </row>
    <row r="51" spans="4:8" x14ac:dyDescent="0.25">
      <c r="D51" s="184"/>
      <c r="E51" s="184"/>
      <c r="F51" s="184"/>
      <c r="G51" s="184"/>
      <c r="H51" s="184"/>
    </row>
    <row r="52" spans="4:8" x14ac:dyDescent="0.25">
      <c r="D52" s="184"/>
      <c r="E52" s="184"/>
      <c r="F52" s="184"/>
      <c r="G52" s="184"/>
      <c r="H52" s="184"/>
    </row>
    <row r="53" spans="4:8" x14ac:dyDescent="0.25">
      <c r="D53" s="184"/>
      <c r="E53" s="184"/>
      <c r="F53" s="184"/>
      <c r="G53" s="184"/>
      <c r="H53" s="184"/>
    </row>
    <row r="54" spans="4:8" x14ac:dyDescent="0.25">
      <c r="D54" s="184"/>
      <c r="E54" s="184"/>
      <c r="F54" s="184"/>
      <c r="G54" s="184"/>
      <c r="H54" s="184"/>
    </row>
    <row r="55" spans="4:8" x14ac:dyDescent="0.25">
      <c r="D55" s="184"/>
      <c r="E55" s="184"/>
      <c r="F55" s="184"/>
      <c r="G55" s="184"/>
      <c r="H55" s="184"/>
    </row>
    <row r="56" spans="4:8" x14ac:dyDescent="0.25">
      <c r="D56" s="184"/>
      <c r="E56" s="184"/>
      <c r="F56" s="184"/>
      <c r="G56" s="184"/>
      <c r="H56" s="184"/>
    </row>
    <row r="57" spans="4:8" x14ac:dyDescent="0.25">
      <c r="D57" s="184"/>
      <c r="E57" s="184"/>
      <c r="F57" s="184"/>
      <c r="G57" s="184"/>
      <c r="H57" s="184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U39"/>
  <sheetViews>
    <sheetView zoomScale="90" zoomScaleNormal="90" workbookViewId="0">
      <selection activeCell="AC18" sqref="AC18"/>
    </sheetView>
  </sheetViews>
  <sheetFormatPr defaultColWidth="9.140625" defaultRowHeight="15" x14ac:dyDescent="0.25"/>
  <cols>
    <col min="1" max="1" width="5.5703125" style="107" customWidth="1"/>
    <col min="2" max="6" width="9.140625" style="107"/>
    <col min="7" max="7" width="15.5703125" style="107" customWidth="1"/>
    <col min="8" max="8" width="9.140625" style="107"/>
    <col min="9" max="9" width="1.140625" style="107" customWidth="1"/>
    <col min="10" max="16" width="9.140625" style="107"/>
    <col min="17" max="17" width="3.5703125" style="107" customWidth="1"/>
    <col min="18" max="16384" width="9.140625" style="107"/>
  </cols>
  <sheetData>
    <row r="1" spans="2:20" ht="8.25" customHeight="1" x14ac:dyDescent="0.25"/>
    <row r="2" spans="2:20" x14ac:dyDescent="0.25">
      <c r="B2" s="231" t="s">
        <v>128</v>
      </c>
      <c r="C2" s="231"/>
      <c r="D2" s="231"/>
      <c r="E2" s="231"/>
      <c r="F2" s="229" t="s">
        <v>4</v>
      </c>
      <c r="G2" s="229"/>
      <c r="H2" s="108"/>
      <c r="I2" s="108"/>
      <c r="J2" s="231" t="s">
        <v>127</v>
      </c>
      <c r="K2" s="231"/>
      <c r="L2" s="231"/>
      <c r="M2" s="231"/>
      <c r="N2" s="229" t="s">
        <v>85</v>
      </c>
      <c r="O2" s="229"/>
      <c r="P2" s="108"/>
      <c r="Q2" s="108"/>
      <c r="R2" s="231" t="s">
        <v>130</v>
      </c>
      <c r="S2" s="231"/>
      <c r="T2" s="106">
        <v>2025</v>
      </c>
    </row>
    <row r="3" spans="2:20" x14ac:dyDescent="0.25">
      <c r="B3" s="231" t="s">
        <v>129</v>
      </c>
      <c r="C3" s="231"/>
      <c r="D3" s="231"/>
      <c r="E3" s="231"/>
      <c r="F3" s="229" t="s">
        <v>12</v>
      </c>
      <c r="G3" s="229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0" ht="5.25" customHeight="1" x14ac:dyDescent="0.25"/>
    <row r="19" spans="2:21" ht="9" customHeight="1" x14ac:dyDescent="0.25"/>
    <row r="20" spans="2:21" s="109" customFormat="1" ht="15.75" x14ac:dyDescent="0.25">
      <c r="B20" s="228" t="s">
        <v>131</v>
      </c>
      <c r="C20" s="228"/>
      <c r="D20" s="228"/>
      <c r="E20" s="228"/>
      <c r="F20" s="229" t="s">
        <v>66</v>
      </c>
      <c r="G20" s="229"/>
      <c r="H20" s="229"/>
      <c r="O20" s="228" t="s">
        <v>131</v>
      </c>
      <c r="P20" s="228"/>
      <c r="Q20" s="228"/>
      <c r="R20" s="228"/>
      <c r="S20" s="230" t="s">
        <v>5</v>
      </c>
      <c r="T20" s="230"/>
      <c r="U20" s="230"/>
    </row>
    <row r="21" spans="2:21" ht="16.5" customHeight="1" x14ac:dyDescent="0.25">
      <c r="B21" s="228" t="s">
        <v>132</v>
      </c>
      <c r="C21" s="228"/>
      <c r="D21" s="228"/>
      <c r="E21" s="228"/>
      <c r="F21" s="229">
        <v>2025</v>
      </c>
      <c r="G21" s="229"/>
      <c r="H21" s="229"/>
    </row>
    <row r="39" spans="2:2" x14ac:dyDescent="0.25">
      <c r="B39" s="107" t="s">
        <v>24</v>
      </c>
    </row>
  </sheetData>
  <mergeCells count="13">
    <mergeCell ref="S20:U20"/>
    <mergeCell ref="R2:S2"/>
    <mergeCell ref="B2:E2"/>
    <mergeCell ref="B3:E3"/>
    <mergeCell ref="F2:G2"/>
    <mergeCell ref="F3:G3"/>
    <mergeCell ref="J2:M2"/>
    <mergeCell ref="N2:O2"/>
    <mergeCell ref="B21:E21"/>
    <mergeCell ref="F21:H21"/>
    <mergeCell ref="B20:E20"/>
    <mergeCell ref="F20:H20"/>
    <mergeCell ref="O20:R20"/>
  </mergeCells>
  <dataValidations count="4">
    <dataValidation type="list" allowBlank="1" showInputMessage="1" showErrorMessage="1" sqref="F2:G3 S20:U20" xr:uid="{3E6CC772-2AAB-4AD0-A3D6-39532E581268}">
      <formula1>List1</formula1>
    </dataValidation>
    <dataValidation type="list" allowBlank="1" showInputMessage="1" showErrorMessage="1" sqref="N2:O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T2" xr:uid="{7EB47B14-2E92-4441-9A0F-38A4686A9E70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7"/>
  <sheetViews>
    <sheetView showGridLines="0" zoomScale="98" zoomScaleNormal="98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P25" sqref="P25"/>
    </sheetView>
  </sheetViews>
  <sheetFormatPr defaultColWidth="9.140625" defaultRowHeight="15" x14ac:dyDescent="0.25"/>
  <cols>
    <col min="1" max="1" width="3.5703125" style="34" customWidth="1"/>
    <col min="2" max="2" width="58.42578125" style="34" customWidth="1"/>
    <col min="3" max="3" width="11.85546875" style="34" bestFit="1" customWidth="1"/>
    <col min="4" max="4" width="12.42578125" style="34" bestFit="1" customWidth="1"/>
    <col min="5" max="5" width="14.42578125" style="34" bestFit="1" customWidth="1"/>
    <col min="6" max="6" width="14.140625" style="34" bestFit="1" customWidth="1"/>
    <col min="7" max="7" width="12.5703125" style="34" bestFit="1" customWidth="1"/>
    <col min="8" max="16384" width="9.140625" style="34"/>
  </cols>
  <sheetData>
    <row r="1" spans="2:7" x14ac:dyDescent="0.25">
      <c r="B1" s="33" t="s">
        <v>172</v>
      </c>
      <c r="F1" s="35"/>
      <c r="G1" s="36"/>
    </row>
    <row r="2" spans="2:7" ht="15.6" customHeight="1" thickBot="1" x14ac:dyDescent="0.3">
      <c r="F2" s="35"/>
      <c r="G2" s="36"/>
    </row>
    <row r="3" spans="2:7" s="37" customFormat="1" ht="21.75" customHeight="1" thickBot="1" x14ac:dyDescent="0.3">
      <c r="B3" s="162" t="s">
        <v>0</v>
      </c>
      <c r="C3" s="158">
        <f>Snapshots!D3</f>
        <v>2021</v>
      </c>
      <c r="D3" s="158">
        <f>Snapshots!E3</f>
        <v>2022</v>
      </c>
      <c r="E3" s="158">
        <f>Snapshots!F3</f>
        <v>2023</v>
      </c>
      <c r="F3" s="158">
        <f>Snapshots!G3</f>
        <v>2024</v>
      </c>
      <c r="G3" s="158">
        <f>Snapshots!H3</f>
        <v>2025</v>
      </c>
    </row>
    <row r="4" spans="2:7" x14ac:dyDescent="0.25">
      <c r="B4" s="38" t="s">
        <v>56</v>
      </c>
      <c r="C4" s="38">
        <f>'2.Comprehensive income'!C21</f>
        <v>1790612.1117873723</v>
      </c>
      <c r="D4" s="38">
        <f>'2.Comprehensive income'!D21</f>
        <v>56124754.813695632</v>
      </c>
      <c r="E4" s="38">
        <f>'2.Comprehensive income'!E21</f>
        <v>-5135847</v>
      </c>
      <c r="F4" s="38">
        <f>'2.Comprehensive income'!F21</f>
        <v>-10401328</v>
      </c>
      <c r="G4" s="161">
        <f>'2.Comprehensive income'!G21</f>
        <v>152911</v>
      </c>
    </row>
    <row r="5" spans="2:7" x14ac:dyDescent="0.25">
      <c r="B5" s="38" t="s">
        <v>57</v>
      </c>
      <c r="C5" s="38">
        <f>-'2.Comprehensive income'!C20</f>
        <v>928652.4</v>
      </c>
      <c r="D5" s="38">
        <f>-'2.Comprehensive income'!D20</f>
        <v>1066842</v>
      </c>
      <c r="E5" s="38">
        <f>-'2.Comprehensive income'!E20</f>
        <v>242991</v>
      </c>
      <c r="F5" s="38">
        <f>-'2.Comprehensive income'!F20</f>
        <v>-1367367</v>
      </c>
      <c r="G5" s="161">
        <f>-'2.Comprehensive income'!G20</f>
        <v>79776</v>
      </c>
    </row>
    <row r="6" spans="2:7" x14ac:dyDescent="0.25">
      <c r="B6" s="38" t="s">
        <v>58</v>
      </c>
      <c r="C6" s="38">
        <v>1657221.9</v>
      </c>
      <c r="D6" s="38">
        <v>2364091.67</v>
      </c>
      <c r="E6" s="38">
        <v>3121845.49</v>
      </c>
      <c r="F6" s="38">
        <v>3907534</v>
      </c>
      <c r="G6" s="161">
        <v>3022109</v>
      </c>
    </row>
    <row r="7" spans="2:7" x14ac:dyDescent="0.25">
      <c r="B7" s="39" t="s">
        <v>28</v>
      </c>
      <c r="C7" s="39">
        <f>C4+C5+C6</f>
        <v>4376486.4117873721</v>
      </c>
      <c r="D7" s="39">
        <f>D4+D5+D6</f>
        <v>59555688.483695634</v>
      </c>
      <c r="E7" s="39">
        <f>E4+E5+E6</f>
        <v>-1771010.5099999998</v>
      </c>
      <c r="F7" s="39">
        <f>F4+F5+F6</f>
        <v>-7861161</v>
      </c>
      <c r="G7" s="173">
        <f>G4+G5+G6</f>
        <v>3254796</v>
      </c>
    </row>
    <row r="8" spans="2:7" x14ac:dyDescent="0.25">
      <c r="B8" s="38" t="s">
        <v>59</v>
      </c>
      <c r="C8" s="38">
        <v>14897798.990000002</v>
      </c>
      <c r="D8" s="38">
        <v>14538409.470000001</v>
      </c>
      <c r="E8" s="38">
        <v>14320886.799999999</v>
      </c>
      <c r="F8" s="38">
        <v>14627022</v>
      </c>
      <c r="G8" s="161">
        <v>13083595</v>
      </c>
    </row>
    <row r="9" spans="2:7" x14ac:dyDescent="0.25">
      <c r="B9" s="38" t="s">
        <v>60</v>
      </c>
      <c r="C9" s="38">
        <v>3745691.8</v>
      </c>
      <c r="D9" s="38">
        <v>3692904.8</v>
      </c>
      <c r="E9" s="38">
        <v>3600218.8</v>
      </c>
      <c r="F9" s="38">
        <v>3325296</v>
      </c>
      <c r="G9" s="161">
        <v>4025046</v>
      </c>
    </row>
    <row r="10" spans="2:7" x14ac:dyDescent="0.25">
      <c r="B10" s="39" t="s">
        <v>26</v>
      </c>
      <c r="C10" s="39">
        <f>C7+C8-C9</f>
        <v>15528593.601787373</v>
      </c>
      <c r="D10" s="39">
        <f>D7+D8-D9</f>
        <v>70401193.153695643</v>
      </c>
      <c r="E10" s="39">
        <f>E7+E8-E9</f>
        <v>8949657.4899999984</v>
      </c>
      <c r="F10" s="39">
        <f>F7+F8-F9</f>
        <v>3440565</v>
      </c>
      <c r="G10" s="173">
        <f>G7+G8-G9</f>
        <v>12313345</v>
      </c>
    </row>
    <row r="13" spans="2:7" x14ac:dyDescent="0.25">
      <c r="B13" s="34" t="s">
        <v>75</v>
      </c>
    </row>
    <row r="15" spans="2:7" x14ac:dyDescent="0.25">
      <c r="B15" s="34" t="s">
        <v>24</v>
      </c>
    </row>
    <row r="21" spans="5:7" x14ac:dyDescent="0.25">
      <c r="E21" s="136"/>
      <c r="F21" s="136"/>
      <c r="G21" s="136"/>
    </row>
    <row r="24" spans="5:7" x14ac:dyDescent="0.25">
      <c r="E24" s="137"/>
      <c r="F24" s="137"/>
    </row>
    <row r="27" spans="5:7" x14ac:dyDescent="0.25">
      <c r="E27" s="137"/>
      <c r="F27" s="137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Contents</vt:lpstr>
      <vt:lpstr>hiddenPage</vt:lpstr>
      <vt:lpstr>Snapshots</vt:lpstr>
      <vt:lpstr>1.FinancialPosition</vt:lpstr>
      <vt:lpstr>2.Comprehensive income</vt:lpstr>
      <vt:lpstr>3.Statement of cash flow</vt:lpstr>
      <vt:lpstr>4.Financial ratios</vt:lpstr>
      <vt:lpstr>Charts</vt:lpstr>
      <vt:lpstr>EBIT-EBITDA</vt:lpstr>
      <vt:lpstr>List1</vt:lpstr>
      <vt:lpstr>List2</vt:lpstr>
      <vt:lpstr>List3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2026-05-20T14:40:00Z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2020-04-03T07:36:18.7807258Z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db2b7749-c445-4b9c-8541-fb28fda4d37b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