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41" documentId="8_{6AB108CF-71DE-4C8B-83EF-33B045F8276E}" xr6:coauthVersionLast="47" xr6:coauthVersionMax="47" xr10:uidLastSave="{33986DA8-0E2B-41A4-99D5-ED31E4CDECB2}"/>
  <bookViews>
    <workbookView xWindow="-120" yWindow="-120" windowWidth="29040" windowHeight="15720" tabRatio="804" xr2:uid="{00000000-000D-0000-FFFF-FFFF00000000}"/>
  </bookViews>
  <sheets>
    <sheet name="Cuprins" sheetId="6" r:id="rId1"/>
    <sheet name="HiddenPage" sheetId="10" state="hidden" r:id="rId2"/>
    <sheet name="Snapshots" sheetId="8" r:id="rId3"/>
    <sheet name="1.Pozitia Financiara" sheetId="1" r:id="rId4"/>
    <sheet name="2.Sit. Rezultatului global" sheetId="2" r:id="rId5"/>
    <sheet name="3.Fluxurile de numerar" sheetId="7" r:id="rId6"/>
    <sheet name="4.Indicatori financiari" sheetId="3" r:id="rId7"/>
    <sheet name="Grafice" sheetId="9" r:id="rId8"/>
    <sheet name="EBIT-EBITDA" sheetId="5" r:id="rId9"/>
  </sheets>
  <definedNames>
    <definedName name="Area">INDEX(HiddenPage!XEW1048572:XEW1,MATCH(HiddenPage!B1048571,HiddenPage!XFD1048572:XFD1,0)):INDEX(HiddenPage!XEW1048572:XEW1,MATCH(HiddenPage!B1048572,HiddenPage!XFD1048572:XFD1,0))</definedName>
    <definedName name="Data">IF(HiddenPage!$J$16=4,Selection3,IF(HiddenPage!$J$16=5,Selection2,Selection1))</definedName>
    <definedName name="List1">HiddenPage!$L$3:$L$14</definedName>
    <definedName name="List2">HiddenPage!$N$3:$N$6</definedName>
    <definedName name="List3">HiddenPage!$X$3:$X$7</definedName>
    <definedName name="Selection1">HiddenPage!$A$16:$G$21</definedName>
    <definedName name="Selection2">HiddenPage!$A$16:$G$20</definedName>
    <definedName name="Selection3">HiddenPage!$A$16:$G$19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5" i="1" s="1"/>
  <c r="H33" i="1"/>
  <c r="L33" i="1" s="1"/>
  <c r="G33" i="1"/>
  <c r="G34" i="1" s="1"/>
  <c r="G35" i="1" s="1"/>
  <c r="F33" i="1"/>
  <c r="F34" i="1" s="1"/>
  <c r="F35" i="1" s="1"/>
  <c r="E33" i="1"/>
  <c r="E34" i="1" s="1"/>
  <c r="E35" i="1" s="1"/>
  <c r="D33" i="1"/>
  <c r="D34" i="1" s="1"/>
  <c r="D35" i="1" s="1"/>
  <c r="C33" i="1"/>
  <c r="C34" i="1" s="1"/>
  <c r="C35" i="1" s="1"/>
  <c r="B33" i="1"/>
  <c r="L32" i="1"/>
  <c r="K32" i="1"/>
  <c r="J32" i="1"/>
  <c r="L31" i="1"/>
  <c r="K31" i="1"/>
  <c r="J31" i="1"/>
  <c r="L30" i="1"/>
  <c r="K30" i="1"/>
  <c r="J30" i="1"/>
  <c r="L29" i="1"/>
  <c r="K29" i="1"/>
  <c r="J29" i="1"/>
  <c r="H28" i="1"/>
  <c r="L28" i="1" s="1"/>
  <c r="G28" i="1"/>
  <c r="J28" i="1" s="1"/>
  <c r="F28" i="1"/>
  <c r="E28" i="1"/>
  <c r="D28" i="1"/>
  <c r="C28" i="1"/>
  <c r="B28" i="1"/>
  <c r="B34" i="1" s="1"/>
  <c r="B35" i="1" s="1"/>
  <c r="K27" i="1"/>
  <c r="J27" i="1"/>
  <c r="L26" i="1"/>
  <c r="K26" i="1"/>
  <c r="J26" i="1"/>
  <c r="K25" i="1"/>
  <c r="J25" i="1"/>
  <c r="K24" i="1"/>
  <c r="J24" i="1"/>
  <c r="L23" i="1"/>
  <c r="K23" i="1"/>
  <c r="J23" i="1"/>
  <c r="L22" i="1"/>
  <c r="K22" i="1"/>
  <c r="J22" i="1"/>
  <c r="H22" i="1"/>
  <c r="G22" i="1"/>
  <c r="F22" i="1"/>
  <c r="E22" i="1"/>
  <c r="D22" i="1"/>
  <c r="C22" i="1"/>
  <c r="B22" i="1"/>
  <c r="L21" i="1"/>
  <c r="K21" i="1"/>
  <c r="J21" i="1"/>
  <c r="L20" i="1"/>
  <c r="K20" i="1"/>
  <c r="J20" i="1"/>
  <c r="L19" i="1"/>
  <c r="K19" i="1"/>
  <c r="J19" i="1"/>
  <c r="L18" i="1"/>
  <c r="K18" i="1"/>
  <c r="J18" i="1"/>
  <c r="E17" i="1"/>
  <c r="H16" i="1"/>
  <c r="L16" i="1" s="1"/>
  <c r="G16" i="1"/>
  <c r="J16" i="1" s="1"/>
  <c r="F16" i="1"/>
  <c r="E16" i="1"/>
  <c r="D16" i="1"/>
  <c r="D17" i="1" s="1"/>
  <c r="C16" i="1"/>
  <c r="C17" i="1" s="1"/>
  <c r="B16" i="1"/>
  <c r="B17" i="1" s="1"/>
  <c r="L15" i="1"/>
  <c r="K15" i="1"/>
  <c r="J15" i="1"/>
  <c r="L14" i="1"/>
  <c r="K14" i="1"/>
  <c r="J14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H8" i="1"/>
  <c r="K8" i="1" s="1"/>
  <c r="G8" i="1"/>
  <c r="G17" i="1" s="1"/>
  <c r="F8" i="1"/>
  <c r="F17" i="1" s="1"/>
  <c r="E8" i="1"/>
  <c r="D8" i="1"/>
  <c r="C8" i="1"/>
  <c r="B8" i="1"/>
  <c r="L7" i="1"/>
  <c r="K7" i="1"/>
  <c r="J7" i="1"/>
  <c r="L6" i="1"/>
  <c r="K6" i="1"/>
  <c r="J6" i="1"/>
  <c r="L5" i="1"/>
  <c r="K5" i="1"/>
  <c r="J5" i="1"/>
  <c r="L4" i="1"/>
  <c r="K4" i="1"/>
  <c r="J4" i="1"/>
  <c r="D80" i="7"/>
  <c r="E80" i="7"/>
  <c r="F80" i="7"/>
  <c r="G80" i="7"/>
  <c r="H80" i="7"/>
  <c r="I80" i="7"/>
  <c r="C80" i="7"/>
  <c r="I69" i="7"/>
  <c r="H69" i="7"/>
  <c r="H71" i="7" s="1"/>
  <c r="G69" i="7"/>
  <c r="F69" i="7"/>
  <c r="E69" i="7"/>
  <c r="E71" i="7" s="1"/>
  <c r="D69" i="7"/>
  <c r="C69" i="7"/>
  <c r="C71" i="7" s="1"/>
  <c r="C77" i="7" s="1"/>
  <c r="I61" i="7"/>
  <c r="H61" i="7"/>
  <c r="G61" i="7"/>
  <c r="F61" i="7"/>
  <c r="E61" i="7"/>
  <c r="C61" i="7"/>
  <c r="D54" i="7"/>
  <c r="D61" i="7" s="1"/>
  <c r="H40" i="7"/>
  <c r="E40" i="7"/>
  <c r="D40" i="7"/>
  <c r="C40" i="7"/>
  <c r="I35" i="7"/>
  <c r="I40" i="7" s="1"/>
  <c r="H35" i="7"/>
  <c r="E35" i="7"/>
  <c r="D35" i="7"/>
  <c r="C35" i="7"/>
  <c r="G28" i="7"/>
  <c r="G35" i="7" s="1"/>
  <c r="G40" i="7" s="1"/>
  <c r="F28" i="7"/>
  <c r="F35" i="7" s="1"/>
  <c r="F40" i="7" s="1"/>
  <c r="D2" i="7"/>
  <c r="E2" i="7" s="1"/>
  <c r="F2" i="7" s="1"/>
  <c r="G2" i="7" s="1"/>
  <c r="H2" i="7" s="1"/>
  <c r="I2" i="7" s="1"/>
  <c r="G12" i="2"/>
  <c r="G17" i="2" s="1"/>
  <c r="G19" i="2" s="1"/>
  <c r="G22" i="2" s="1"/>
  <c r="F12" i="2"/>
  <c r="F17" i="2" s="1"/>
  <c r="F19" i="2" s="1"/>
  <c r="F22" i="2" s="1"/>
  <c r="E12" i="2"/>
  <c r="E17" i="2" s="1"/>
  <c r="E19" i="2" s="1"/>
  <c r="E22" i="2" s="1"/>
  <c r="D12" i="2"/>
  <c r="D17" i="2" s="1"/>
  <c r="D19" i="2" s="1"/>
  <c r="D22" i="2" s="1"/>
  <c r="C12" i="2"/>
  <c r="C17" i="2" s="1"/>
  <c r="C19" i="2" s="1"/>
  <c r="C22" i="2" s="1"/>
  <c r="B12" i="2"/>
  <c r="B17" i="2" s="1"/>
  <c r="B19" i="2" s="1"/>
  <c r="B22" i="2" s="1"/>
  <c r="C3" i="2"/>
  <c r="D3" i="2" s="1"/>
  <c r="E3" i="2" s="1"/>
  <c r="F3" i="2" s="1"/>
  <c r="G3" i="2" s="1"/>
  <c r="H3" i="2" s="1"/>
  <c r="C4" i="8"/>
  <c r="D4" i="8" s="1"/>
  <c r="E4" i="8" s="1"/>
  <c r="F4" i="8" s="1"/>
  <c r="G4" i="8" s="1"/>
  <c r="H4" i="8" s="1"/>
  <c r="G11" i="8"/>
  <c r="F11" i="8"/>
  <c r="E11" i="8"/>
  <c r="D11" i="8"/>
  <c r="C11" i="8"/>
  <c r="B11" i="8"/>
  <c r="G6" i="8"/>
  <c r="F6" i="8"/>
  <c r="E6" i="8"/>
  <c r="D6" i="8"/>
  <c r="C6" i="8"/>
  <c r="B6" i="8"/>
  <c r="G5" i="8"/>
  <c r="F5" i="8"/>
  <c r="E5" i="8"/>
  <c r="D5" i="8"/>
  <c r="C5" i="8"/>
  <c r="B5" i="8"/>
  <c r="L35" i="1" l="1"/>
  <c r="K35" i="1"/>
  <c r="J35" i="1"/>
  <c r="K34" i="1"/>
  <c r="L34" i="1"/>
  <c r="J33" i="1"/>
  <c r="J8" i="1"/>
  <c r="K33" i="1"/>
  <c r="J34" i="1"/>
  <c r="K16" i="1"/>
  <c r="H17" i="1"/>
  <c r="L8" i="1"/>
  <c r="K28" i="1"/>
  <c r="F71" i="7"/>
  <c r="D71" i="7"/>
  <c r="D77" i="7" s="1"/>
  <c r="G71" i="7"/>
  <c r="I71" i="7"/>
  <c r="G17" i="8"/>
  <c r="G16" i="8"/>
  <c r="F16" i="8"/>
  <c r="E16" i="8"/>
  <c r="D16" i="8"/>
  <c r="C16" i="8"/>
  <c r="B16" i="8"/>
  <c r="G14" i="8"/>
  <c r="F14" i="8"/>
  <c r="E14" i="8"/>
  <c r="C14" i="8"/>
  <c r="B14" i="8"/>
  <c r="H14" i="8"/>
  <c r="H32" i="2"/>
  <c r="H33" i="2" s="1"/>
  <c r="H36" i="2"/>
  <c r="I22" i="1" l="1"/>
  <c r="I11" i="1"/>
  <c r="L17" i="1"/>
  <c r="I15" i="1"/>
  <c r="I21" i="1"/>
  <c r="I23" i="1"/>
  <c r="I20" i="1"/>
  <c r="I19" i="1"/>
  <c r="I4" i="1"/>
  <c r="I32" i="1"/>
  <c r="I10" i="1"/>
  <c r="I13" i="1"/>
  <c r="I25" i="1"/>
  <c r="I14" i="1"/>
  <c r="I30" i="1"/>
  <c r="I6" i="1"/>
  <c r="I27" i="1"/>
  <c r="I18" i="1"/>
  <c r="I7" i="1"/>
  <c r="I24" i="1"/>
  <c r="I17" i="1"/>
  <c r="I9" i="1"/>
  <c r="J17" i="1"/>
  <c r="K17" i="1"/>
  <c r="I12" i="1"/>
  <c r="I5" i="1"/>
  <c r="I29" i="1"/>
  <c r="I35" i="1"/>
  <c r="I16" i="1"/>
  <c r="I33" i="1"/>
  <c r="I8" i="1"/>
  <c r="I34" i="1"/>
  <c r="I28" i="1"/>
  <c r="E73" i="7"/>
  <c r="E77" i="7" s="1"/>
  <c r="F19" i="8"/>
  <c r="F15" i="8"/>
  <c r="B17" i="8"/>
  <c r="C17" i="8"/>
  <c r="G18" i="8"/>
  <c r="D14" i="8"/>
  <c r="E17" i="8"/>
  <c r="E18" i="8" s="1"/>
  <c r="B19" i="8"/>
  <c r="B15" i="8"/>
  <c r="G19" i="8"/>
  <c r="G15" i="8"/>
  <c r="C15" i="8"/>
  <c r="C19" i="8"/>
  <c r="D19" i="8"/>
  <c r="D15" i="8"/>
  <c r="D17" i="8"/>
  <c r="E19" i="8"/>
  <c r="E15" i="8"/>
  <c r="C3" i="1"/>
  <c r="D3" i="1" s="1"/>
  <c r="E3" i="1" s="1"/>
  <c r="F3" i="1" s="1"/>
  <c r="G3" i="1" s="1"/>
  <c r="F9" i="8"/>
  <c r="E9" i="8"/>
  <c r="D9" i="8"/>
  <c r="F73" i="7" l="1"/>
  <c r="F77" i="7" s="1"/>
  <c r="B18" i="8"/>
  <c r="F17" i="8"/>
  <c r="F18" i="8" s="1"/>
  <c r="D18" i="8"/>
  <c r="C18" i="8"/>
  <c r="B9" i="8"/>
  <c r="G9" i="8"/>
  <c r="C9" i="8"/>
  <c r="G73" i="7" l="1"/>
  <c r="G77" i="7" s="1"/>
  <c r="G10" i="8"/>
  <c r="G13" i="8" s="1"/>
  <c r="E10" i="8"/>
  <c r="E13" i="8" s="1"/>
  <c r="D10" i="8"/>
  <c r="D13" i="8" s="1"/>
  <c r="F10" i="8"/>
  <c r="F13" i="8" s="1"/>
  <c r="C10" i="8"/>
  <c r="C13" i="8" s="1"/>
  <c r="B10" i="8"/>
  <c r="B13" i="8" s="1"/>
  <c r="H73" i="7" l="1"/>
  <c r="H77" i="7" s="1"/>
  <c r="B9" i="10"/>
  <c r="B15" i="10" s="1"/>
  <c r="G62" i="2"/>
  <c r="F62" i="2"/>
  <c r="E62" i="2"/>
  <c r="D62" i="2"/>
  <c r="C62" i="2"/>
  <c r="B62" i="2"/>
  <c r="G53" i="2"/>
  <c r="F53" i="2"/>
  <c r="E53" i="2"/>
  <c r="D53" i="2"/>
  <c r="C53" i="2"/>
  <c r="B53" i="2"/>
  <c r="G48" i="2"/>
  <c r="G50" i="2" s="1"/>
  <c r="F48" i="2"/>
  <c r="F50" i="2" s="1"/>
  <c r="E48" i="2"/>
  <c r="E50" i="2" s="1"/>
  <c r="D48" i="2"/>
  <c r="D50" i="2" s="1"/>
  <c r="C48" i="2"/>
  <c r="C50" i="2" s="1"/>
  <c r="B48" i="2"/>
  <c r="B50" i="2" s="1"/>
  <c r="G45" i="2"/>
  <c r="F45" i="2"/>
  <c r="E45" i="2"/>
  <c r="D45" i="2"/>
  <c r="C45" i="2"/>
  <c r="B45" i="2"/>
  <c r="G41" i="2"/>
  <c r="F41" i="2"/>
  <c r="E41" i="2"/>
  <c r="D41" i="2"/>
  <c r="C41" i="2"/>
  <c r="B41" i="2"/>
  <c r="G36" i="2"/>
  <c r="F36" i="2"/>
  <c r="E36" i="2"/>
  <c r="D36" i="2"/>
  <c r="C36" i="2"/>
  <c r="B36" i="2"/>
  <c r="G32" i="2"/>
  <c r="G33" i="2" s="1"/>
  <c r="F32" i="2"/>
  <c r="F33" i="2" s="1"/>
  <c r="E32" i="2"/>
  <c r="E33" i="2" s="1"/>
  <c r="D32" i="2"/>
  <c r="D33" i="2" s="1"/>
  <c r="C32" i="2"/>
  <c r="C33" i="2" s="1"/>
  <c r="B32" i="2"/>
  <c r="B33" i="2" s="1"/>
  <c r="G26" i="2"/>
  <c r="F26" i="2"/>
  <c r="E26" i="2"/>
  <c r="D26" i="2"/>
  <c r="C26" i="2"/>
  <c r="B26" i="2"/>
  <c r="H12" i="2"/>
  <c r="H16" i="8"/>
  <c r="I4" i="8"/>
  <c r="J12" i="8"/>
  <c r="I12" i="8"/>
  <c r="H11" i="8"/>
  <c r="K55" i="2"/>
  <c r="J55" i="2"/>
  <c r="I55" i="2"/>
  <c r="H5" i="8"/>
  <c r="H6" i="8"/>
  <c r="I8" i="8"/>
  <c r="J8" i="8"/>
  <c r="K8" i="8"/>
  <c r="I73" i="7" l="1"/>
  <c r="I77" i="7" s="1"/>
  <c r="G42" i="2"/>
  <c r="B42" i="2"/>
  <c r="F42" i="2"/>
  <c r="H17" i="2"/>
  <c r="H19" i="2" s="1"/>
  <c r="H22" i="2" s="1"/>
  <c r="H9" i="8"/>
  <c r="C42" i="2"/>
  <c r="D42" i="2"/>
  <c r="E42" i="2"/>
  <c r="J11" i="8"/>
  <c r="I11" i="8"/>
  <c r="C37" i="1"/>
  <c r="B37" i="1"/>
  <c r="E37" i="1"/>
  <c r="D37" i="1"/>
  <c r="J14" i="8"/>
  <c r="I5" i="8"/>
  <c r="I6" i="8"/>
  <c r="H19" i="8"/>
  <c r="H15" i="8"/>
  <c r="I16" i="8"/>
  <c r="J6" i="8"/>
  <c r="K6" i="8"/>
  <c r="K16" i="8"/>
  <c r="J16" i="8"/>
  <c r="K5" i="8"/>
  <c r="J5" i="8"/>
  <c r="H10" i="8" l="1"/>
  <c r="K9" i="8"/>
  <c r="I9" i="8"/>
  <c r="J9" i="8"/>
  <c r="I15" i="8"/>
  <c r="K10" i="8"/>
  <c r="H13" i="8"/>
  <c r="K13" i="8" s="1"/>
  <c r="H37" i="1"/>
  <c r="I19" i="8"/>
  <c r="I14" i="8"/>
  <c r="K19" i="8"/>
  <c r="F37" i="1"/>
  <c r="G37" i="1"/>
  <c r="K14" i="8"/>
  <c r="J19" i="8"/>
  <c r="J10" i="8"/>
  <c r="I10" i="8"/>
  <c r="K15" i="8"/>
  <c r="J15" i="8"/>
  <c r="H17" i="8"/>
  <c r="J13" i="8" l="1"/>
  <c r="I13" i="8"/>
  <c r="H3" i="1"/>
  <c r="I17" i="8"/>
  <c r="H18" i="8"/>
  <c r="K17" i="8"/>
  <c r="J17" i="8"/>
  <c r="J3" i="1" l="1"/>
  <c r="K18" i="8"/>
  <c r="I18" i="8"/>
  <c r="J18" i="8"/>
  <c r="B63" i="2"/>
  <c r="C63" i="2"/>
  <c r="D63" i="2"/>
  <c r="E63" i="2"/>
  <c r="F63" i="2"/>
  <c r="G63" i="2"/>
  <c r="H11" i="3" l="1"/>
  <c r="G11" i="3"/>
  <c r="F11" i="3"/>
  <c r="E11" i="3"/>
  <c r="D11" i="3"/>
  <c r="C11" i="3"/>
  <c r="K16" i="2" l="1"/>
  <c r="J16" i="2" l="1"/>
  <c r="I16" i="2"/>
  <c r="K14" i="2"/>
  <c r="J14" i="2"/>
  <c r="I14" i="2"/>
  <c r="H53" i="2" l="1"/>
  <c r="H62" i="2"/>
  <c r="H63" i="2" s="1"/>
  <c r="J61" i="2"/>
  <c r="I61" i="2"/>
  <c r="J60" i="2"/>
  <c r="I60" i="2"/>
  <c r="J59" i="2"/>
  <c r="I59" i="2"/>
  <c r="J58" i="2"/>
  <c r="I58" i="2"/>
  <c r="J57" i="2"/>
  <c r="I57" i="2"/>
  <c r="J56" i="2"/>
  <c r="I56" i="2"/>
  <c r="K54" i="2"/>
  <c r="J54" i="2"/>
  <c r="I54" i="2"/>
  <c r="K21" i="2"/>
  <c r="J21" i="2"/>
  <c r="I21" i="2"/>
  <c r="J20" i="2"/>
  <c r="I20" i="2"/>
  <c r="K18" i="2"/>
  <c r="J18" i="2"/>
  <c r="I18" i="2"/>
  <c r="K13" i="2"/>
  <c r="J13" i="2"/>
  <c r="I13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J5" i="2"/>
  <c r="I5" i="2"/>
  <c r="K4" i="2"/>
  <c r="J4" i="2"/>
  <c r="I4" i="2"/>
  <c r="K62" i="2" l="1"/>
  <c r="J12" i="2"/>
  <c r="I62" i="2"/>
  <c r="J62" i="2"/>
  <c r="I12" i="2"/>
  <c r="K12" i="2"/>
  <c r="I17" i="2" l="1"/>
  <c r="J17" i="2"/>
  <c r="K17" i="2"/>
  <c r="I53" i="2"/>
  <c r="K22" i="2" l="1"/>
  <c r="I19" i="2"/>
  <c r="K19" i="2"/>
  <c r="J19" i="2"/>
  <c r="I22" i="2" l="1"/>
  <c r="J22" i="2"/>
  <c r="A90" i="10"/>
  <c r="B82" i="10"/>
  <c r="A25" i="10" l="1"/>
  <c r="A26" i="10" s="1"/>
  <c r="A27" i="10" s="1"/>
  <c r="A28" i="10" s="1"/>
  <c r="A29" i="10" s="1"/>
  <c r="A30" i="10" s="1"/>
  <c r="C15" i="10"/>
  <c r="D15" i="10" s="1"/>
  <c r="E15" i="10" s="1"/>
  <c r="F15" i="10" s="1"/>
  <c r="G15" i="10" s="1"/>
  <c r="H15" i="10" s="1"/>
  <c r="C9" i="10"/>
  <c r="C3" i="10"/>
  <c r="D3" i="10" s="1"/>
  <c r="E3" i="10" s="1"/>
  <c r="F3" i="10" s="1"/>
  <c r="G3" i="10" s="1"/>
  <c r="H3" i="10" s="1"/>
  <c r="G4" i="5"/>
  <c r="F4" i="5"/>
  <c r="E4" i="5"/>
  <c r="D4" i="5"/>
  <c r="C4" i="5"/>
  <c r="B4" i="5"/>
  <c r="I11" i="3"/>
  <c r="H4" i="5"/>
  <c r="D9" i="10" l="1"/>
  <c r="C82" i="10"/>
  <c r="E9" i="10" l="1"/>
  <c r="D82" i="10"/>
  <c r="I68" i="10"/>
  <c r="I69" i="10"/>
  <c r="I70" i="10"/>
  <c r="I67" i="10"/>
  <c r="A63" i="10"/>
  <c r="F9" i="10" l="1"/>
  <c r="E82" i="10"/>
  <c r="G9" i="10" l="1"/>
  <c r="F82" i="10"/>
  <c r="H70" i="10"/>
  <c r="G70" i="10"/>
  <c r="F70" i="10"/>
  <c r="E70" i="10"/>
  <c r="D70" i="10"/>
  <c r="C70" i="10"/>
  <c r="H69" i="10"/>
  <c r="G69" i="10"/>
  <c r="F69" i="10"/>
  <c r="E69" i="10"/>
  <c r="D69" i="10"/>
  <c r="C69" i="10"/>
  <c r="G68" i="10"/>
  <c r="F68" i="10"/>
  <c r="E68" i="10"/>
  <c r="D68" i="10"/>
  <c r="C68" i="10"/>
  <c r="G67" i="10"/>
  <c r="F67" i="10"/>
  <c r="E67" i="10"/>
  <c r="D67" i="10"/>
  <c r="C67" i="10"/>
  <c r="B70" i="10"/>
  <c r="B69" i="10"/>
  <c r="B68" i="10"/>
  <c r="B67" i="10"/>
  <c r="C66" i="10"/>
  <c r="C75" i="10" s="1"/>
  <c r="D66" i="10"/>
  <c r="D75" i="10" s="1"/>
  <c r="E66" i="10"/>
  <c r="E75" i="10" s="1"/>
  <c r="F66" i="10"/>
  <c r="F75" i="10" s="1"/>
  <c r="G66" i="10"/>
  <c r="G75" i="10" s="1"/>
  <c r="H66" i="10"/>
  <c r="H75" i="10" s="1"/>
  <c r="B66" i="10"/>
  <c r="B75" i="10" s="1"/>
  <c r="B76" i="10" l="1"/>
  <c r="D76" i="10"/>
  <c r="H9" i="10"/>
  <c r="H82" i="10" s="1"/>
  <c r="G82" i="10"/>
  <c r="I40" i="2"/>
  <c r="K40" i="2"/>
  <c r="J40" i="2"/>
  <c r="E76" i="10"/>
  <c r="H67" i="10"/>
  <c r="S37" i="2"/>
  <c r="F76" i="10"/>
  <c r="J38" i="2"/>
  <c r="H68" i="10"/>
  <c r="G76" i="10"/>
  <c r="C76" i="10"/>
  <c r="J37" i="2"/>
  <c r="K39" i="2"/>
  <c r="I39" i="2"/>
  <c r="J39" i="2"/>
  <c r="K38" i="2"/>
  <c r="H41" i="2"/>
  <c r="I38" i="2"/>
  <c r="I36" i="2"/>
  <c r="K37" i="2"/>
  <c r="I37" i="2"/>
  <c r="H76" i="10" l="1"/>
  <c r="H77" i="10" s="1"/>
  <c r="K41" i="2"/>
  <c r="I41" i="2"/>
  <c r="J41" i="2"/>
  <c r="G3" i="5" l="1"/>
  <c r="F3" i="5"/>
  <c r="E3" i="5"/>
  <c r="D3" i="5"/>
  <c r="C3" i="5"/>
  <c r="B3" i="5"/>
  <c r="C2" i="5" l="1"/>
  <c r="D3" i="3" s="1"/>
  <c r="D2" i="5"/>
  <c r="E3" i="3" s="1"/>
  <c r="E2" i="5"/>
  <c r="F3" i="3" s="1"/>
  <c r="F2" i="5"/>
  <c r="G3" i="3" s="1"/>
  <c r="G2" i="5"/>
  <c r="H3" i="3" s="1"/>
  <c r="H2" i="5"/>
  <c r="I3" i="3" s="1"/>
  <c r="B2" i="5"/>
  <c r="C3" i="3" s="1"/>
  <c r="C52" i="10"/>
  <c r="D52" i="10"/>
  <c r="E52" i="10"/>
  <c r="F52" i="10"/>
  <c r="G52" i="10"/>
  <c r="B52" i="10"/>
  <c r="C44" i="10"/>
  <c r="D44" i="10"/>
  <c r="E44" i="10"/>
  <c r="F44" i="10"/>
  <c r="G44" i="10"/>
  <c r="B44" i="10"/>
  <c r="H45" i="2"/>
  <c r="N26" i="2"/>
  <c r="N36" i="2" s="1"/>
  <c r="O26" i="2"/>
  <c r="O36" i="2" s="1"/>
  <c r="P26" i="2"/>
  <c r="P36" i="2" s="1"/>
  <c r="Q26" i="2"/>
  <c r="Q36" i="2" s="1"/>
  <c r="R26" i="2"/>
  <c r="R36" i="2" s="1"/>
  <c r="S26" i="2"/>
  <c r="S36" i="2" s="1"/>
  <c r="M26" i="2"/>
  <c r="M36" i="2" s="1"/>
  <c r="H26" i="2"/>
  <c r="A13" i="10" l="1"/>
  <c r="C14" i="10" l="1"/>
  <c r="D14" i="10"/>
  <c r="E14" i="10"/>
  <c r="F14" i="10"/>
  <c r="G14" i="10"/>
  <c r="H14" i="10"/>
  <c r="B14" i="10"/>
  <c r="I45" i="2" l="1"/>
  <c r="I26" i="2"/>
  <c r="Q65" i="10"/>
  <c r="B51" i="10"/>
  <c r="L54" i="10"/>
  <c r="L55" i="10" s="1"/>
  <c r="C51" i="10"/>
  <c r="L56" i="10" l="1"/>
  <c r="D51" i="10"/>
  <c r="A35" i="10"/>
  <c r="A36" i="10" s="1"/>
  <c r="A37" i="10" s="1"/>
  <c r="A38" i="10" s="1"/>
  <c r="A39" i="10" s="1"/>
  <c r="E51" i="10" l="1"/>
  <c r="L57" i="10"/>
  <c r="L58" i="10" l="1"/>
  <c r="F51" i="10"/>
  <c r="H44" i="10" l="1"/>
  <c r="H52" i="10"/>
  <c r="L59" i="10"/>
  <c r="G51" i="10"/>
  <c r="K47" i="2"/>
  <c r="J47" i="2"/>
  <c r="I47" i="2"/>
  <c r="K46" i="2"/>
  <c r="J46" i="2"/>
  <c r="I46" i="2"/>
  <c r="K31" i="2"/>
  <c r="J31" i="2"/>
  <c r="I31" i="2"/>
  <c r="K30" i="2"/>
  <c r="J30" i="2"/>
  <c r="I30" i="2"/>
  <c r="K29" i="2"/>
  <c r="J29" i="2"/>
  <c r="I29" i="2"/>
  <c r="K28" i="2"/>
  <c r="J28" i="2"/>
  <c r="I28" i="2"/>
  <c r="I3" i="2"/>
  <c r="H48" i="2"/>
  <c r="H50" i="2" s="1"/>
  <c r="H42" i="2"/>
  <c r="I13" i="3"/>
  <c r="I12" i="3"/>
  <c r="I10" i="3"/>
  <c r="I6" i="3"/>
  <c r="I15" i="3" l="1"/>
  <c r="S39" i="2"/>
  <c r="S40" i="2"/>
  <c r="S38" i="2"/>
  <c r="S30" i="2"/>
  <c r="I19" i="3"/>
  <c r="S31" i="2"/>
  <c r="S27" i="2"/>
  <c r="S28" i="2"/>
  <c r="S29" i="2"/>
  <c r="I16" i="3"/>
  <c r="I9" i="3"/>
  <c r="G6" i="5"/>
  <c r="G9" i="5" s="1"/>
  <c r="G7" i="8" s="1"/>
  <c r="F6" i="5"/>
  <c r="E6" i="5"/>
  <c r="E9" i="5" s="1"/>
  <c r="E7" i="8" s="1"/>
  <c r="D6" i="5"/>
  <c r="D9" i="5" s="1"/>
  <c r="D7" i="8" s="1"/>
  <c r="C6" i="5"/>
  <c r="D14" i="3" s="1"/>
  <c r="B6" i="5"/>
  <c r="B9" i="5" s="1"/>
  <c r="B7" i="8" s="1"/>
  <c r="H6" i="3"/>
  <c r="G6" i="3"/>
  <c r="F6" i="3"/>
  <c r="E6" i="3"/>
  <c r="D6" i="3"/>
  <c r="D15" i="3" s="1"/>
  <c r="C6" i="3"/>
  <c r="J27" i="2"/>
  <c r="N23" i="8"/>
  <c r="AD26" i="10"/>
  <c r="AD25" i="10"/>
  <c r="A23" i="10"/>
  <c r="D23" i="10" s="1"/>
  <c r="AD16" i="10"/>
  <c r="AD15" i="10"/>
  <c r="AD14" i="10"/>
  <c r="I9" i="10"/>
  <c r="G8" i="10"/>
  <c r="F8" i="10"/>
  <c r="E8" i="10"/>
  <c r="D8" i="10"/>
  <c r="C8" i="10"/>
  <c r="B8" i="10"/>
  <c r="A8" i="10"/>
  <c r="S3" i="10" s="1"/>
  <c r="AD6" i="10"/>
  <c r="AD5" i="10"/>
  <c r="A5" i="10"/>
  <c r="AD4" i="10"/>
  <c r="AA4" i="10"/>
  <c r="AA5" i="10" s="1"/>
  <c r="AA6" i="10" s="1"/>
  <c r="AA7" i="10" s="1"/>
  <c r="AA8" i="10" s="1"/>
  <c r="AA9" i="10" s="1"/>
  <c r="AA10" i="10" s="1"/>
  <c r="AA11" i="10" s="1"/>
  <c r="AA12" i="10" s="1"/>
  <c r="AA13" i="10" s="1"/>
  <c r="AA14" i="10" s="1"/>
  <c r="AA15" i="10" s="1"/>
  <c r="AA16" i="10" s="1"/>
  <c r="AA17" i="10" s="1"/>
  <c r="A4" i="10"/>
  <c r="B4" i="10" s="1"/>
  <c r="AD3" i="10"/>
  <c r="H8" i="10"/>
  <c r="AD13" i="10" l="1"/>
  <c r="F9" i="5"/>
  <c r="F7" i="8" s="1"/>
  <c r="H15" i="3"/>
  <c r="G15" i="3"/>
  <c r="S41" i="2"/>
  <c r="C15" i="3"/>
  <c r="C16" i="3"/>
  <c r="C9" i="3"/>
  <c r="E16" i="3"/>
  <c r="E15" i="3"/>
  <c r="F16" i="3"/>
  <c r="F15" i="3"/>
  <c r="M37" i="2"/>
  <c r="E9" i="3"/>
  <c r="M39" i="2"/>
  <c r="M38" i="2"/>
  <c r="M40" i="2"/>
  <c r="N39" i="2"/>
  <c r="N38" i="2"/>
  <c r="N40" i="2"/>
  <c r="N37" i="2"/>
  <c r="O39" i="2"/>
  <c r="O40" i="2"/>
  <c r="O38" i="2"/>
  <c r="O37" i="2"/>
  <c r="P38" i="2"/>
  <c r="P37" i="2"/>
  <c r="P40" i="2"/>
  <c r="P39" i="2"/>
  <c r="Q37" i="2"/>
  <c r="Q40" i="2"/>
  <c r="Q39" i="2"/>
  <c r="Q38" i="2"/>
  <c r="R40" i="2"/>
  <c r="R39" i="2"/>
  <c r="R37" i="2"/>
  <c r="R38" i="2"/>
  <c r="O27" i="2"/>
  <c r="H3" i="5"/>
  <c r="H6" i="5" s="1"/>
  <c r="F14" i="3"/>
  <c r="G4" i="3"/>
  <c r="C4" i="3"/>
  <c r="F4" i="3"/>
  <c r="C14" i="3"/>
  <c r="Q30" i="2"/>
  <c r="J32" i="2"/>
  <c r="I48" i="2"/>
  <c r="Q28" i="2"/>
  <c r="M30" i="2"/>
  <c r="N28" i="2"/>
  <c r="O28" i="2"/>
  <c r="K32" i="2"/>
  <c r="R29" i="2"/>
  <c r="N30" i="2"/>
  <c r="I27" i="2"/>
  <c r="I32" i="2"/>
  <c r="G9" i="3"/>
  <c r="K27" i="2"/>
  <c r="H14" i="3"/>
  <c r="S32" i="2"/>
  <c r="K48" i="2"/>
  <c r="I18" i="3"/>
  <c r="I17" i="3"/>
  <c r="G10" i="3"/>
  <c r="C12" i="3"/>
  <c r="Q29" i="2"/>
  <c r="J48" i="2"/>
  <c r="H51" i="10"/>
  <c r="I53" i="10" s="1"/>
  <c r="B27" i="10"/>
  <c r="B24" i="10"/>
  <c r="F33" i="10" s="1"/>
  <c r="B28" i="10"/>
  <c r="B25" i="10"/>
  <c r="B29" i="10"/>
  <c r="B26" i="10"/>
  <c r="E4" i="10"/>
  <c r="F4" i="10"/>
  <c r="C4" i="10"/>
  <c r="G4" i="10"/>
  <c r="D4" i="10"/>
  <c r="C5" i="10"/>
  <c r="G5" i="10"/>
  <c r="D5" i="10"/>
  <c r="E5" i="10"/>
  <c r="B5" i="10"/>
  <c r="F5" i="10"/>
  <c r="AD9" i="10"/>
  <c r="AD7" i="10"/>
  <c r="AD8" i="10"/>
  <c r="AD11" i="10"/>
  <c r="H4" i="10"/>
  <c r="AD10" i="10"/>
  <c r="AD12" i="10"/>
  <c r="H16" i="3"/>
  <c r="H4" i="3"/>
  <c r="H9" i="3"/>
  <c r="N29" i="2"/>
  <c r="M27" i="2"/>
  <c r="N27" i="2"/>
  <c r="M28" i="2"/>
  <c r="M31" i="2"/>
  <c r="N31" i="2"/>
  <c r="P31" i="2"/>
  <c r="M29" i="2"/>
  <c r="Q31" i="2"/>
  <c r="C5" i="3"/>
  <c r="C7" i="3" s="1"/>
  <c r="F5" i="3"/>
  <c r="F8" i="3" s="1"/>
  <c r="F12" i="3"/>
  <c r="E4" i="3"/>
  <c r="E14" i="3"/>
  <c r="H10" i="3"/>
  <c r="P27" i="2"/>
  <c r="E18" i="3"/>
  <c r="G18" i="3"/>
  <c r="D9" i="3"/>
  <c r="G16" i="3"/>
  <c r="D12" i="3"/>
  <c r="O29" i="2"/>
  <c r="C9" i="5"/>
  <c r="C7" i="8" s="1"/>
  <c r="E12" i="3"/>
  <c r="P28" i="2"/>
  <c r="P29" i="2"/>
  <c r="D4" i="3"/>
  <c r="F17" i="3"/>
  <c r="F10" i="3"/>
  <c r="D17" i="3"/>
  <c r="C19" i="3"/>
  <c r="C18" i="3"/>
  <c r="E5" i="3"/>
  <c r="AA18" i="10"/>
  <c r="AD17" i="10"/>
  <c r="D19" i="3"/>
  <c r="D18" i="3"/>
  <c r="G5" i="3"/>
  <c r="F18" i="3"/>
  <c r="F19" i="3"/>
  <c r="H5" i="3"/>
  <c r="C10" i="3"/>
  <c r="G12" i="3"/>
  <c r="Q27" i="2"/>
  <c r="O30" i="2"/>
  <c r="D10" i="3"/>
  <c r="H12" i="3"/>
  <c r="R27" i="2"/>
  <c r="R28" i="2"/>
  <c r="P30" i="2"/>
  <c r="O31" i="2"/>
  <c r="E10" i="3"/>
  <c r="R30" i="2"/>
  <c r="G14" i="3"/>
  <c r="C17" i="3"/>
  <c r="R31" i="2"/>
  <c r="F9" i="3"/>
  <c r="D16" i="3"/>
  <c r="H5" i="10"/>
  <c r="D7" i="10"/>
  <c r="S4" i="10"/>
  <c r="S9" i="10"/>
  <c r="S8" i="10"/>
  <c r="S6" i="10"/>
  <c r="S7" i="10"/>
  <c r="S10" i="10"/>
  <c r="S5" i="10"/>
  <c r="A1" i="10"/>
  <c r="B30" i="10"/>
  <c r="G8" i="3" l="1"/>
  <c r="R41" i="2"/>
  <c r="N41" i="2"/>
  <c r="M41" i="2"/>
  <c r="P41" i="2"/>
  <c r="O41" i="2"/>
  <c r="Q41" i="2"/>
  <c r="C8" i="3"/>
  <c r="I54" i="10"/>
  <c r="I55" i="10"/>
  <c r="H9" i="5"/>
  <c r="H7" i="8" s="1"/>
  <c r="I4" i="3"/>
  <c r="I14" i="3"/>
  <c r="F7" i="3"/>
  <c r="I58" i="10"/>
  <c r="I59" i="10"/>
  <c r="N32" i="2"/>
  <c r="Q32" i="2"/>
  <c r="M32" i="2"/>
  <c r="I56" i="10"/>
  <c r="I57" i="10"/>
  <c r="G35" i="10"/>
  <c r="E35" i="10" s="1"/>
  <c r="G38" i="10"/>
  <c r="D38" i="10" s="1"/>
  <c r="G36" i="10"/>
  <c r="G39" i="10"/>
  <c r="E39" i="10" s="1"/>
  <c r="G33" i="10"/>
  <c r="G34" i="10"/>
  <c r="G37" i="10"/>
  <c r="G17" i="3"/>
  <c r="G19" i="3"/>
  <c r="P32" i="2"/>
  <c r="R32" i="2"/>
  <c r="D5" i="3"/>
  <c r="E19" i="3"/>
  <c r="E17" i="3"/>
  <c r="O32" i="2"/>
  <c r="H7" i="3"/>
  <c r="H8" i="3"/>
  <c r="H17" i="3"/>
  <c r="H18" i="3"/>
  <c r="H19" i="3"/>
  <c r="D13" i="3"/>
  <c r="G7" i="3"/>
  <c r="AD18" i="10"/>
  <c r="AA19" i="10"/>
  <c r="E13" i="3"/>
  <c r="C13" i="3"/>
  <c r="E8" i="3"/>
  <c r="E7" i="3"/>
  <c r="T10" i="10"/>
  <c r="U10" i="10" s="1"/>
  <c r="T5" i="10"/>
  <c r="U5" i="10" s="1"/>
  <c r="T9" i="10"/>
  <c r="U9" i="10" s="1"/>
  <c r="T7" i="10"/>
  <c r="U7" i="10" s="1"/>
  <c r="T8" i="10"/>
  <c r="U8" i="10" s="1"/>
  <c r="T6" i="10"/>
  <c r="U6" i="10" s="1"/>
  <c r="T3" i="10"/>
  <c r="U3" i="10" s="1"/>
  <c r="A45" i="10" s="1"/>
  <c r="T4" i="10"/>
  <c r="U4" i="10" s="1"/>
  <c r="A46" i="10" s="1"/>
  <c r="J7" i="8" l="1"/>
  <c r="I7" i="8"/>
  <c r="K7" i="8"/>
  <c r="J55" i="10"/>
  <c r="I5" i="3"/>
  <c r="J58" i="10"/>
  <c r="J54" i="10"/>
  <c r="J53" i="10"/>
  <c r="J59" i="10"/>
  <c r="J57" i="10"/>
  <c r="J56" i="10"/>
  <c r="E38" i="10"/>
  <c r="D35" i="10"/>
  <c r="G13" i="3"/>
  <c r="B46" i="10"/>
  <c r="H46" i="10"/>
  <c r="G11" i="10"/>
  <c r="B11" i="10"/>
  <c r="H11" i="10"/>
  <c r="D46" i="10"/>
  <c r="C11" i="10"/>
  <c r="E46" i="10"/>
  <c r="D11" i="10"/>
  <c r="G46" i="10"/>
  <c r="E11" i="10"/>
  <c r="C46" i="10"/>
  <c r="F46" i="10"/>
  <c r="F11" i="10"/>
  <c r="B45" i="10"/>
  <c r="E45" i="10"/>
  <c r="H45" i="10"/>
  <c r="E10" i="10"/>
  <c r="F10" i="10"/>
  <c r="B10" i="10"/>
  <c r="D45" i="10"/>
  <c r="C10" i="10"/>
  <c r="G10" i="10"/>
  <c r="D10" i="10"/>
  <c r="H10" i="10"/>
  <c r="G45" i="10"/>
  <c r="F45" i="10"/>
  <c r="C45" i="10"/>
  <c r="E34" i="10"/>
  <c r="D34" i="10"/>
  <c r="B34" i="10" s="1"/>
  <c r="D7" i="3"/>
  <c r="D8" i="3"/>
  <c r="F13" i="3"/>
  <c r="AA20" i="10"/>
  <c r="AD19" i="10"/>
  <c r="H13" i="3"/>
  <c r="A11" i="10"/>
  <c r="A84" i="10" s="1"/>
  <c r="A10" i="10"/>
  <c r="A83" i="10" s="1"/>
  <c r="D39" i="10"/>
  <c r="E37" i="10"/>
  <c r="D37" i="10"/>
  <c r="E36" i="10"/>
  <c r="D36" i="10"/>
  <c r="H86" i="10" l="1"/>
  <c r="H84" i="10" s="1"/>
  <c r="D86" i="10"/>
  <c r="D84" i="10" s="1"/>
  <c r="G86" i="10"/>
  <c r="G83" i="10" s="1"/>
  <c r="C86" i="10"/>
  <c r="C84" i="10" s="1"/>
  <c r="B86" i="10"/>
  <c r="B84" i="10" s="1"/>
  <c r="F86" i="10"/>
  <c r="F84" i="10" s="1"/>
  <c r="E86" i="10"/>
  <c r="E84" i="10" s="1"/>
  <c r="G47" i="10"/>
  <c r="I8" i="3"/>
  <c r="I7" i="3"/>
  <c r="N53" i="10"/>
  <c r="Q53" i="10" s="1"/>
  <c r="N54" i="10"/>
  <c r="Q54" i="10" s="1"/>
  <c r="N55" i="10"/>
  <c r="Q55" i="10" s="1"/>
  <c r="N59" i="10"/>
  <c r="Q59" i="10" s="1"/>
  <c r="N57" i="10"/>
  <c r="Q57" i="10" s="1"/>
  <c r="N56" i="10"/>
  <c r="Q56" i="10" s="1"/>
  <c r="N58" i="10"/>
  <c r="Q58" i="10" s="1"/>
  <c r="E47" i="10"/>
  <c r="D47" i="10"/>
  <c r="H47" i="10"/>
  <c r="F47" i="10"/>
  <c r="B47" i="10"/>
  <c r="C47" i="10"/>
  <c r="I10" i="10"/>
  <c r="B35" i="10"/>
  <c r="B36" i="10" s="1"/>
  <c r="B37" i="10" s="1"/>
  <c r="B38" i="10" s="1"/>
  <c r="B39" i="10" s="1"/>
  <c r="AD20" i="10"/>
  <c r="AA21" i="10"/>
  <c r="A7" i="10"/>
  <c r="G84" i="10" l="1"/>
  <c r="F83" i="10"/>
  <c r="E83" i="10"/>
  <c r="B83" i="10"/>
  <c r="D83" i="10"/>
  <c r="H83" i="10"/>
  <c r="C83" i="10"/>
  <c r="Q60" i="10"/>
  <c r="Q63" i="10" s="1"/>
  <c r="C40" i="10"/>
  <c r="AA22" i="10"/>
  <c r="AD21" i="10"/>
  <c r="AA23" i="10" l="1"/>
  <c r="AD22" i="10"/>
  <c r="R53" i="10"/>
  <c r="R59" i="10"/>
  <c r="R55" i="10"/>
  <c r="R54" i="10"/>
  <c r="R57" i="10"/>
  <c r="R58" i="10"/>
  <c r="R56" i="10"/>
  <c r="AA24" i="10" l="1"/>
  <c r="AD23" i="10"/>
  <c r="I11" i="10"/>
  <c r="AA25" i="10" l="1"/>
  <c r="AA26" i="10" s="1"/>
  <c r="AA27" i="10" s="1"/>
  <c r="AD24" i="10"/>
  <c r="AE8" i="10" s="1"/>
  <c r="AF8" i="10" s="1"/>
  <c r="AE11" i="10"/>
  <c r="AF11" i="10" s="1"/>
  <c r="AG11" i="10" s="1"/>
  <c r="AE14" i="10" l="1"/>
  <c r="AF14" i="10" s="1"/>
  <c r="AE26" i="10"/>
  <c r="AE20" i="10"/>
  <c r="AF20" i="10" s="1"/>
  <c r="AE4" i="10"/>
  <c r="AF4" i="10" s="1"/>
  <c r="A17" i="10" s="1"/>
  <c r="B17" i="10" s="1"/>
  <c r="AE18" i="10"/>
  <c r="AF18" i="10" s="1"/>
  <c r="AE19" i="10"/>
  <c r="AF19" i="10" s="1"/>
  <c r="AE23" i="10"/>
  <c r="A21" i="10"/>
  <c r="H21" i="10" s="1"/>
  <c r="AG8" i="10"/>
  <c r="AE5" i="10"/>
  <c r="AF5" i="10" s="1"/>
  <c r="AE25" i="10"/>
  <c r="AE3" i="10"/>
  <c r="AF3" i="10" s="1"/>
  <c r="AE13" i="10"/>
  <c r="AF13" i="10" s="1"/>
  <c r="AG13" i="10" s="1"/>
  <c r="AE10" i="10"/>
  <c r="AF10" i="10" s="1"/>
  <c r="AG10" i="10" s="1"/>
  <c r="AE9" i="10"/>
  <c r="AF9" i="10" s="1"/>
  <c r="AE16" i="10"/>
  <c r="AF16" i="10" s="1"/>
  <c r="AE6" i="10"/>
  <c r="AF6" i="10" s="1"/>
  <c r="AE17" i="10"/>
  <c r="AF17" i="10" s="1"/>
  <c r="AE7" i="10"/>
  <c r="AF7" i="10" s="1"/>
  <c r="AE24" i="10"/>
  <c r="AE21" i="10"/>
  <c r="AF21" i="10" s="1"/>
  <c r="AE12" i="10"/>
  <c r="AF12" i="10" s="1"/>
  <c r="AG12" i="10" s="1"/>
  <c r="AE15" i="10"/>
  <c r="AF15" i="10" s="1"/>
  <c r="AE22" i="10"/>
  <c r="AF22" i="10" s="1"/>
  <c r="F21" i="10" l="1"/>
  <c r="C21" i="10"/>
  <c r="B21" i="10"/>
  <c r="E21" i="10"/>
  <c r="D21" i="10"/>
  <c r="AG4" i="10"/>
  <c r="A19" i="10"/>
  <c r="AG6" i="10"/>
  <c r="AG9" i="10"/>
  <c r="A22" i="10"/>
  <c r="AG3" i="10"/>
  <c r="A16" i="10"/>
  <c r="E17" i="10"/>
  <c r="G17" i="10"/>
  <c r="H17" i="10"/>
  <c r="F17" i="10"/>
  <c r="D17" i="10"/>
  <c r="A20" i="10"/>
  <c r="AG7" i="10"/>
  <c r="A18" i="10"/>
  <c r="AG5" i="10"/>
  <c r="E18" i="10" l="1"/>
  <c r="G18" i="10"/>
  <c r="H18" i="10"/>
  <c r="D18" i="10"/>
  <c r="B18" i="10"/>
  <c r="F18" i="10"/>
  <c r="B16" i="10"/>
  <c r="F16" i="10"/>
  <c r="H16" i="10"/>
  <c r="E16" i="10"/>
  <c r="G16" i="10"/>
  <c r="C16" i="10"/>
  <c r="AH13" i="10"/>
  <c r="AI13" i="10" s="1"/>
  <c r="AH9" i="10"/>
  <c r="AI9" i="10" s="1"/>
  <c r="AH3" i="10"/>
  <c r="AI3" i="10" s="1"/>
  <c r="D16" i="10" s="1"/>
  <c r="AH11" i="10"/>
  <c r="AI11" i="10" s="1"/>
  <c r="AH6" i="10"/>
  <c r="AI6" i="10" s="1"/>
  <c r="E19" i="10" s="1"/>
  <c r="AH12" i="10"/>
  <c r="AI12" i="10" s="1"/>
  <c r="AH7" i="10"/>
  <c r="AI7" i="10" s="1"/>
  <c r="D20" i="10" s="1"/>
  <c r="AH4" i="10"/>
  <c r="AI4" i="10" s="1"/>
  <c r="C17" i="10" s="1"/>
  <c r="I17" i="10" s="1"/>
  <c r="AH5" i="10"/>
  <c r="AI5" i="10" s="1"/>
  <c r="C18" i="10" s="1"/>
  <c r="AH8" i="10"/>
  <c r="AI8" i="10" s="1"/>
  <c r="G21" i="10" s="1"/>
  <c r="I21" i="10" s="1"/>
  <c r="AH10" i="10"/>
  <c r="AI10" i="10" s="1"/>
  <c r="H20" i="10"/>
  <c r="F20" i="10"/>
  <c r="B20" i="10"/>
  <c r="C20" i="10"/>
  <c r="E20" i="10"/>
  <c r="G20" i="10"/>
  <c r="H22" i="10"/>
  <c r="F22" i="10"/>
  <c r="B22" i="10"/>
  <c r="E22" i="10"/>
  <c r="D22" i="10"/>
  <c r="C22" i="10"/>
  <c r="G22" i="10"/>
  <c r="H19" i="10"/>
  <c r="C19" i="10"/>
  <c r="G19" i="10"/>
  <c r="D19" i="10"/>
  <c r="F19" i="10"/>
  <c r="B19" i="10"/>
  <c r="I22" i="10" l="1"/>
  <c r="I16" i="10"/>
  <c r="I18" i="10"/>
  <c r="I19" i="10"/>
  <c r="I20" i="10"/>
  <c r="J19" i="10" l="1"/>
  <c r="J18" i="10"/>
  <c r="J20" i="10"/>
  <c r="J17" i="10"/>
  <c r="J16" i="10"/>
  <c r="J21" i="10"/>
  <c r="J22" i="10"/>
  <c r="N19" i="10" l="1"/>
  <c r="Q19" i="10" s="1"/>
  <c r="N17" i="10"/>
  <c r="Q17" i="10" s="1"/>
  <c r="N20" i="10"/>
  <c r="Q20" i="10" s="1"/>
  <c r="N22" i="10"/>
  <c r="Q22" i="10" s="1"/>
  <c r="N18" i="10"/>
  <c r="Q18" i="10" s="1"/>
  <c r="N16" i="10"/>
  <c r="Q16" i="10" s="1"/>
  <c r="N21" i="10"/>
  <c r="Q21" i="10" s="1"/>
  <c r="Q23" i="10" l="1"/>
  <c r="R17" i="10" s="1"/>
  <c r="N23" i="10" l="1"/>
  <c r="R19" i="10"/>
  <c r="R18" i="10"/>
  <c r="R20" i="10"/>
  <c r="R16" i="10"/>
  <c r="R21" i="10"/>
  <c r="R22" i="10"/>
</calcChain>
</file>

<file path=xl/sharedStrings.xml><?xml version="1.0" encoding="utf-8"?>
<sst xmlns="http://schemas.openxmlformats.org/spreadsheetml/2006/main" count="419" uniqueCount="297">
  <si>
    <t>Indicator</t>
  </si>
  <si>
    <t>Imobilizari corporale</t>
  </si>
  <si>
    <t>Investitii imobiliare</t>
  </si>
  <si>
    <t>Imobilizari necorporale</t>
  </si>
  <si>
    <t>Active financiare</t>
  </si>
  <si>
    <t>Creante comerciale si alte creante</t>
  </si>
  <si>
    <t>Total activ</t>
  </si>
  <si>
    <t>Capital social</t>
  </si>
  <si>
    <t>Prime de capital</t>
  </si>
  <si>
    <t>Rezerve</t>
  </si>
  <si>
    <t>Rezultat reportat</t>
  </si>
  <si>
    <t>Imprumuturi</t>
  </si>
  <si>
    <t>Total datorii</t>
  </si>
  <si>
    <t>Total capitaluri si datorii</t>
  </si>
  <si>
    <t>Profit (pierdere) inaintea impozitarii</t>
  </si>
  <si>
    <t>Impozit pe profit</t>
  </si>
  <si>
    <t>Profit (pierdere) net</t>
  </si>
  <si>
    <t>Pierderi din reevaluarea imobilizarilor corporale</t>
  </si>
  <si>
    <t>Ajustare impozit amanat aferent rezervelor din reevaluare nedeductibile fiscal</t>
  </si>
  <si>
    <t>Total rezultat global</t>
  </si>
  <si>
    <t>Venituri din dobanzi</t>
  </si>
  <si>
    <t>Detalii indicator "Vanzari nete"</t>
  </si>
  <si>
    <t>Alte venituri</t>
  </si>
  <si>
    <t>© ROMCARBON SA</t>
  </si>
  <si>
    <t>EBITDA</t>
  </si>
  <si>
    <t>Formula</t>
  </si>
  <si>
    <t>EBITDA in total vanzari</t>
  </si>
  <si>
    <t>EBITDA in capitaluri proprii</t>
  </si>
  <si>
    <t>Rata profitului brut</t>
  </si>
  <si>
    <t>Cifra de afaceri</t>
  </si>
  <si>
    <t>Indicatorul lichiditatii curente</t>
  </si>
  <si>
    <t>Indicatorul lichiditatii imediate(testul acid)</t>
  </si>
  <si>
    <t>Indicatorul gradului de indatorare(1)</t>
  </si>
  <si>
    <t>Indicatorul gradului de indatorare(2)</t>
  </si>
  <si>
    <t>Rata de acoperire a dobanzii</t>
  </si>
  <si>
    <t>Viteza de rotatie a creantelor comerciale</t>
  </si>
  <si>
    <t>Viteza de rotatie a datoriilor comerciale</t>
  </si>
  <si>
    <t>Rata rentabilitatii economice(ROA)</t>
  </si>
  <si>
    <t>Rata rentabilitatii financiare(ROE)</t>
  </si>
  <si>
    <t>Rata rentabilitatii comerciale(ROS)</t>
  </si>
  <si>
    <t>EBITDA/Cifra de afaceri</t>
  </si>
  <si>
    <t>EBITDA/Capitaluri</t>
  </si>
  <si>
    <t>Profit brut/Cifra de afaceri</t>
  </si>
  <si>
    <t>Active curente/Datorii curente</t>
  </si>
  <si>
    <t>(Active curente-Stocuri)/Datorii curente</t>
  </si>
  <si>
    <t>Datorii pe termen lung/Capitaluri</t>
  </si>
  <si>
    <t>Total datorii/Total active</t>
  </si>
  <si>
    <t>EBIT/Cheltuieli cu dobanzile</t>
  </si>
  <si>
    <t>EBIT</t>
  </si>
  <si>
    <t>Sold mediu creante comerciale/Cifra de afaceri</t>
  </si>
  <si>
    <t>Sold mediu datorii comerciale/Cifra de afaceri</t>
  </si>
  <si>
    <t>Rezultat net/Active totale</t>
  </si>
  <si>
    <t>Rezultat net/Capitaluri</t>
  </si>
  <si>
    <t>Rezultat net/Cifra de afaceri</t>
  </si>
  <si>
    <t xml:space="preserve">Profit net </t>
  </si>
  <si>
    <t>Cheltuieli cu impozitul pe profit (+)</t>
  </si>
  <si>
    <t>Cheltuieli cu dobanzile (+)</t>
  </si>
  <si>
    <t>Cheltuieli cu amortizarea (+)</t>
  </si>
  <si>
    <t>Venituri din subventii pentru investitii (-)</t>
  </si>
  <si>
    <t>Vezi pagina EBIT-EBITDA</t>
  </si>
  <si>
    <t>Vanzari nete + Venituri din chirii</t>
  </si>
  <si>
    <t>Fax: +40(0)238 710 697</t>
  </si>
  <si>
    <t>investor.relations@romcarbon.com</t>
  </si>
  <si>
    <t>List1</t>
  </si>
  <si>
    <t>List2</t>
  </si>
  <si>
    <t>List3</t>
  </si>
  <si>
    <t>Start</t>
  </si>
  <si>
    <t>Base</t>
  </si>
  <si>
    <t>End</t>
  </si>
  <si>
    <t>Down</t>
  </si>
  <si>
    <t>Up</t>
  </si>
  <si>
    <t>Net</t>
  </si>
  <si>
    <t>Ponderi in vanzari nete</t>
  </si>
  <si>
    <t>Profit net</t>
  </si>
  <si>
    <t>Active pe termen lung</t>
  </si>
  <si>
    <t>Active curente</t>
  </si>
  <si>
    <t>Capitaluri</t>
  </si>
  <si>
    <t>Total Datorii</t>
  </si>
  <si>
    <t>Nota: In EBIT si EBITDA sunt incluse si elemente nerecurente cum ar fi dividendele, vanzari de active, altele.</t>
  </si>
  <si>
    <t xml:space="preserve">Vanzari nete </t>
  </si>
  <si>
    <t>Datorii pe termen lung</t>
  </si>
  <si>
    <t>Datorii curente</t>
  </si>
  <si>
    <t>Datorii</t>
  </si>
  <si>
    <t>Active</t>
  </si>
  <si>
    <t>In acest fisier toate sumele sunt exprimate in lei.</t>
  </si>
  <si>
    <t>Str.Transilvaniei, nr.132, Buzau</t>
  </si>
  <si>
    <t>Cod postal: 120012</t>
  </si>
  <si>
    <t>Tel: +40(0)238 711 155</t>
  </si>
  <si>
    <t xml:space="preserve"> - Vanzari de semifabricate</t>
  </si>
  <si>
    <t xml:space="preserve"> - Servicii prestate</t>
  </si>
  <si>
    <t xml:space="preserve"> - Vanzari de marfuri</t>
  </si>
  <si>
    <t xml:space="preserve"> - Venituri din diverse activitati</t>
  </si>
  <si>
    <t>Venituri din inchirieri</t>
  </si>
  <si>
    <t xml:space="preserve">Venituri financiare (dividende) - Total Commercial Management </t>
  </si>
  <si>
    <t xml:space="preserve">Venituri financiare (dividende) - Recyplat </t>
  </si>
  <si>
    <t xml:space="preserve">Venituri financiare (dividende) - Yenki </t>
  </si>
  <si>
    <t xml:space="preserve">Venituri financiare (dividende) - Infotech Solutions </t>
  </si>
  <si>
    <t>Venituri financiare (dividende) - RC Energo Install</t>
  </si>
  <si>
    <t xml:space="preserve">Venituri financiare (dividende) - LivingJumbo Industry </t>
  </si>
  <si>
    <t>Capitaluri&amp;datoriii</t>
  </si>
  <si>
    <t>Sursa datelor o reprezinta situatiile financiare ale companiei.</t>
  </si>
  <si>
    <t>An</t>
  </si>
  <si>
    <t>Date</t>
  </si>
  <si>
    <t>Rank</t>
  </si>
  <si>
    <t>Pozitie</t>
  </si>
  <si>
    <t>Center</t>
  </si>
  <si>
    <t>Value</t>
  </si>
  <si>
    <t>%</t>
  </si>
  <si>
    <t>CP1</t>
  </si>
  <si>
    <t>CP2</t>
  </si>
  <si>
    <t>CP3</t>
  </si>
  <si>
    <t>CP4</t>
  </si>
  <si>
    <t>CP5</t>
  </si>
  <si>
    <t>CP6</t>
  </si>
  <si>
    <t>CP7</t>
  </si>
  <si>
    <t>www.romcarbon.com</t>
  </si>
  <si>
    <t>EBITDA Operational</t>
  </si>
  <si>
    <t>Grad indatorare</t>
  </si>
  <si>
    <t>Lichiditate curenta</t>
  </si>
  <si>
    <r>
      <t xml:space="preserve">Nota: </t>
    </r>
    <r>
      <rPr>
        <b/>
        <u/>
        <sz val="11"/>
        <color theme="1"/>
        <rFont val="Candara"/>
        <family val="2"/>
      </rPr>
      <t>EBITDA</t>
    </r>
    <r>
      <rPr>
        <sz val="11"/>
        <color theme="1"/>
        <rFont val="Candara"/>
        <family val="2"/>
      </rPr>
      <t xml:space="preserve"> e calculat pornind de la rezultatul net si include si elemente nerecurente cum ar fi dividendele, vanzari de active, altele.</t>
    </r>
  </si>
  <si>
    <r>
      <rPr>
        <b/>
        <u/>
        <sz val="11"/>
        <color theme="1"/>
        <rFont val="Candara"/>
        <family val="2"/>
      </rPr>
      <t>EBITDA operational</t>
    </r>
    <r>
      <rPr>
        <sz val="11"/>
        <color theme="1"/>
        <rFont val="Candara"/>
        <family val="2"/>
      </rPr>
      <t xml:space="preserve"> ia in calcul doar activitatea de exploatare, excluzand cheltuiala cu amortizarea, vanzarile de active, elementele nerecurente si activitatea financiara.</t>
    </r>
  </si>
  <si>
    <t>Gruparea indicatorului "Vanzari nete" pe domenii de activitate</t>
  </si>
  <si>
    <t>Sectorul mase plastice  (polistiren, polietilena, polipropilena)</t>
  </si>
  <si>
    <t>Sectorul Polimeri reciclati si compounduri</t>
  </si>
  <si>
    <t xml:space="preserve">Alte activitati </t>
  </si>
  <si>
    <t>Alte sectoare productive (filtre auto si industriale,carbune activ, materiale de protecti, suporti indicatoare auto)</t>
  </si>
  <si>
    <t>Selecteaza anul &gt;&gt;&gt;</t>
  </si>
  <si>
    <t>Selecteaza categoria &gt;&gt;&gt;</t>
  </si>
  <si>
    <t>Mase plastice</t>
  </si>
  <si>
    <t>Polimeri reciclati si compounduri</t>
  </si>
  <si>
    <t>Alte sectoare productive</t>
  </si>
  <si>
    <t>Alte activitati</t>
  </si>
  <si>
    <t>Selecteaza indicatorul &gt;&gt;&gt;</t>
  </si>
  <si>
    <t xml:space="preserve">Selecteaza al doilea element de comparatie &gt;&gt; </t>
  </si>
  <si>
    <t>Selecteaza primul element de comparatie &gt;&gt;</t>
  </si>
  <si>
    <t xml:space="preserve">Stocuri </t>
  </si>
  <si>
    <t xml:space="preserve">Impozite de recuperat </t>
  </si>
  <si>
    <t>Alte active financiare curente</t>
  </si>
  <si>
    <t>Alte active nefinanciare curente</t>
  </si>
  <si>
    <t xml:space="preserve">Numerar si echivalente de numerar </t>
  </si>
  <si>
    <t>Active imobilizante detinute in vederea vanzarii</t>
  </si>
  <si>
    <t>Alte provizioane</t>
  </si>
  <si>
    <t xml:space="preserve">Datorii privind impozitul amanat </t>
  </si>
  <si>
    <t>Alte datorii financiare imobilizate</t>
  </si>
  <si>
    <t xml:space="preserve">Venituri in avans </t>
  </si>
  <si>
    <t xml:space="preserve">Datorii comerciale </t>
  </si>
  <si>
    <t>Alte datorii financiare curente</t>
  </si>
  <si>
    <t>Alte datorii nefinanciare curente</t>
  </si>
  <si>
    <t>Venituri</t>
  </si>
  <si>
    <t xml:space="preserve">Variatia stocurilor </t>
  </si>
  <si>
    <t xml:space="preserve">Cheltuieli cu materiile prime si consumabile </t>
  </si>
  <si>
    <t xml:space="preserve">Cheltuieli cu salariile si beneficiile angajatilor </t>
  </si>
  <si>
    <t xml:space="preserve">Cheltuieli cu deprecierea si amortizarea activelor </t>
  </si>
  <si>
    <t>Cheltuieli operationale</t>
  </si>
  <si>
    <t xml:space="preserve">Alte castiguri sau pierderi </t>
  </si>
  <si>
    <t>Profit (pierdere) din activitati operationale</t>
  </si>
  <si>
    <t>Venituri financiare</t>
  </si>
  <si>
    <t>Cheltuieli financiare</t>
  </si>
  <si>
    <t>Cheltuieli cu deprecierea activelor financiare</t>
  </si>
  <si>
    <t>Detalii indicator "Ale venituri"</t>
  </si>
  <si>
    <t>Detalii indicator "Venituri financiare"</t>
  </si>
  <si>
    <t>Venituri din subventii pentru investitii</t>
  </si>
  <si>
    <t>Nota: Din anul 2020 a fost schimbat formatul situatiilor financiare.  Anii anteriori sunt prezentati conform noului format.</t>
  </si>
  <si>
    <t>Alte datorii financiare pe termen lung</t>
  </si>
  <si>
    <r>
      <rPr>
        <b/>
        <u/>
        <sz val="11"/>
        <color theme="2" tint="-0.89999084444715716"/>
        <rFont val="Candara"/>
        <family val="2"/>
      </rPr>
      <t>Nota:</t>
    </r>
    <r>
      <rPr>
        <b/>
        <sz val="11"/>
        <color theme="2" tint="-0.89999084444715716"/>
        <rFont val="Candara"/>
        <family val="2"/>
      </rPr>
      <t xml:space="preserve"> </t>
    </r>
    <r>
      <rPr>
        <i/>
        <sz val="11"/>
        <color theme="2" tint="-0.89999084444715716"/>
        <rFont val="Candara"/>
        <family val="2"/>
      </rPr>
      <t>Acest document a fost pregatit in scop informativ.</t>
    </r>
    <r>
      <rPr>
        <b/>
        <sz val="11"/>
        <color theme="2" tint="-0.89999084444715716"/>
        <rFont val="Candara"/>
        <family val="2"/>
      </rPr>
      <t xml:space="preserve">
</t>
    </r>
  </si>
  <si>
    <t>Castig din diferente de curs valutar</t>
  </si>
  <si>
    <t>Venituri din dividende</t>
  </si>
  <si>
    <t xml:space="preserve"> - Vanzari de produse finite</t>
  </si>
  <si>
    <t>Profitul net fara impactul vanzarii detinerii din Green-Group</t>
  </si>
  <si>
    <t>*In luna Decembrie 2022 Grupul a vandut detinerea financiara in Green-Group</t>
  </si>
  <si>
    <t>Cheltuieli asociate vanzarii detinerii din Green-Group*</t>
  </si>
  <si>
    <t>In total  [2025]</t>
  </si>
  <si>
    <t>Castiguri(pierderi) din vanzarea activelor financiare detinute pe termen scurt</t>
  </si>
  <si>
    <t>DATE FINANCIARE INDIVIDUALE ANUALE DIN 2019 (IFRS - UE)                           *preliminare</t>
  </si>
  <si>
    <t>Subventii pe termen lung</t>
  </si>
  <si>
    <t>Subventii pe termen scurt</t>
  </si>
  <si>
    <t>Indicatori</t>
  </si>
  <si>
    <t>Profitul/pierderea net(a) al/a anului</t>
  </si>
  <si>
    <t xml:space="preserve">Net profit / (loss) after taxation </t>
  </si>
  <si>
    <t>Cheltuieli cu impozitul pe profit</t>
  </si>
  <si>
    <t xml:space="preserve">Income tax expense </t>
  </si>
  <si>
    <t>Amortizarea /depreciere a activelor pe termen lung</t>
  </si>
  <si>
    <t>Depreciation</t>
  </si>
  <si>
    <t>(Castig)/pierdere din vanzarea activelor fixe</t>
  </si>
  <si>
    <t>(Gain) / Loss on fixed assets disposal</t>
  </si>
  <si>
    <t xml:space="preserve"> (Castig)/pierdere din modificarea valorii juste a investitiilor imobiliare </t>
  </si>
  <si>
    <t>(Gain) / Loss arising on changes in fair value of investment property</t>
  </si>
  <si>
    <t xml:space="preserve"> (Castig)/pierdere din modificarea valorii juste a activelor detinute spre vanzare</t>
  </si>
  <si>
    <t>(Gain) / Loss arising on changes in fair value of Assets Held for Sale</t>
  </si>
  <si>
    <t>(Castig) / Pierdere din reevaluarea imobilizarilor corporale</t>
  </si>
  <si>
    <t>(Gain) / Loss from revaluation of fixed assets</t>
  </si>
  <si>
    <t xml:space="preserve"> (Castig)/pierdere  din vanzarea investitiilor imobiliare </t>
  </si>
  <si>
    <t>(Gain) / Loss arising disposal of investment property</t>
  </si>
  <si>
    <t xml:space="preserve"> (Castig)/pierdere  din vanzarea activelor detinute spre vanzare</t>
  </si>
  <si>
    <t>(Gain) / Loss arising disposal of Assets Held for Sale</t>
  </si>
  <si>
    <t>(Castig) / Pierdere din cedarea investitiilor financiare pe termen scurt</t>
  </si>
  <si>
    <t>(Gain) / Loss on disposal of short term financial investment</t>
  </si>
  <si>
    <t>Cheltuieli/ venituri din creante</t>
  </si>
  <si>
    <t>Loss on receivables and sundry debtors</t>
  </si>
  <si>
    <t>Cheltuieli/venituri privind provizioanele pentru  clienti</t>
  </si>
  <si>
    <t>Customers provisions</t>
  </si>
  <si>
    <t>Castig din constructia interna a mijloacelor fixe</t>
  </si>
  <si>
    <t>Gains on internal set-up of fixed assets</t>
  </si>
  <si>
    <t>Cheltuieli / (Venituri) privind provizioanele pentru imobilizari financiare</t>
  </si>
  <si>
    <t>Expenses / (Revenues) regarding allowances for financial assets</t>
  </si>
  <si>
    <t>Castig/Pierdere din cedarea activelor financiare</t>
  </si>
  <si>
    <t>(Gains) / Losses with disposal of financial assets</t>
  </si>
  <si>
    <t>Cheltuieli/venituri privind provizioanele pentru investitii financiare</t>
  </si>
  <si>
    <t>Expenses / revenues with adjustments of financial assets</t>
  </si>
  <si>
    <t>Cheltuieli/venituri cu provizionul de concedii neefectuate</t>
  </si>
  <si>
    <t>Provisions for untaken leaves</t>
  </si>
  <si>
    <t>Cheltuieli cu dobanda</t>
  </si>
  <si>
    <t>Interest expense</t>
  </si>
  <si>
    <t>Interest income</t>
  </si>
  <si>
    <t>Dividend income</t>
  </si>
  <si>
    <t>Venituri din subventii</t>
  </si>
  <si>
    <t>Income from subsidies</t>
  </si>
  <si>
    <t>Castig/Pierdere nerealizat/a din diferente de curs</t>
  </si>
  <si>
    <t>Unrealised net forex result</t>
  </si>
  <si>
    <t>Miscari în capitalul circulant</t>
  </si>
  <si>
    <t>Movements in working capital</t>
  </si>
  <si>
    <t>(Crestere)/ (descrestere) creante comerciale si alte creante</t>
  </si>
  <si>
    <t>(Increase) / Decrease in accounts receivable</t>
  </si>
  <si>
    <t>(Crestere)/ (descrestere)stocuri</t>
  </si>
  <si>
    <t>(Increase) / Decrease in inventories</t>
  </si>
  <si>
    <t>(Cresteri)/  (descresteri) in alte active</t>
  </si>
  <si>
    <t>(Increase) / Decrease in other assets</t>
  </si>
  <si>
    <t>Crestere / (descrestere) datorii comerciale</t>
  </si>
  <si>
    <t>Increase / (Decrease) in accounts payable</t>
  </si>
  <si>
    <t>Crestere / (descrestere) venituri inregistrate in avans</t>
  </si>
  <si>
    <t>(Decrease) / Increase in deferred revenue</t>
  </si>
  <si>
    <t>Crestere / (descrestere) alte datorii</t>
  </si>
  <si>
    <t>(Decrease)/increase in other liabilities</t>
  </si>
  <si>
    <t>Numerar generat/ utilizat din activitati operationale</t>
  </si>
  <si>
    <t>Cash generated from operations</t>
  </si>
  <si>
    <t>Impozit pe profit platit</t>
  </si>
  <si>
    <t>Income taxes paid</t>
  </si>
  <si>
    <t>Dobanzi platite</t>
  </si>
  <si>
    <t>Interest paid</t>
  </si>
  <si>
    <t>Numerar net generat/utilizat de activitati operationale</t>
  </si>
  <si>
    <t>Net cash generated/used by operating activities</t>
  </si>
  <si>
    <t>Fluxuri de numerar din activitati de investitii</t>
  </si>
  <si>
    <t>Cash flows from investing activities</t>
  </si>
  <si>
    <t>Plati aferente imobilizarilor financiare</t>
  </si>
  <si>
    <t>Payments to acquire financial assets</t>
  </si>
  <si>
    <t>Dobanzi încasate</t>
  </si>
  <si>
    <t>Interest received</t>
  </si>
  <si>
    <t>Dividende primite</t>
  </si>
  <si>
    <t>Dividends received</t>
  </si>
  <si>
    <t xml:space="preserve">Plati aferente imobilizarilor corporale </t>
  </si>
  <si>
    <t>Payments for property, plant and equipment</t>
  </si>
  <si>
    <t>Plati aferente investitiilor imobiliare</t>
  </si>
  <si>
    <t>Payments for investment property</t>
  </si>
  <si>
    <t>Incasari din vanzarea investitiilor imobiliare</t>
  </si>
  <si>
    <t>Proceeds from disposal of investment property</t>
  </si>
  <si>
    <t>Încasari din vanzarea de imobilizari corporale</t>
  </si>
  <si>
    <t>Proceeds from disposal of property, plant and equipment</t>
  </si>
  <si>
    <t>Plati aferente activelelor detinute spre vanzare</t>
  </si>
  <si>
    <t>Payments for assets held for sale</t>
  </si>
  <si>
    <t>Încasari din vanzarea activelor detinute spre vanzare</t>
  </si>
  <si>
    <t>Proceeds from disposal of Assets Held for Sale</t>
  </si>
  <si>
    <t xml:space="preserve"> Încasari din vanzarea investitiilor </t>
  </si>
  <si>
    <t>Proceeds from disposal of investments</t>
  </si>
  <si>
    <t>Incasari din subventii</t>
  </si>
  <si>
    <t>Proceeds from subsidies</t>
  </si>
  <si>
    <t xml:space="preserve"> Incasari/rambursari de imprumuturi parti afiliate </t>
  </si>
  <si>
    <t>Proceeds from loans granted to related parties</t>
  </si>
  <si>
    <t>Plati aferente activelor financiare</t>
  </si>
  <si>
    <t>Payments for financial assets</t>
  </si>
  <si>
    <t>Plati aferente investiitilor financiare pe termen scurt</t>
  </si>
  <si>
    <t>Payments for short-term financial investments</t>
  </si>
  <si>
    <t>Incasari din vanzarea investitiilor pe termen scurt</t>
  </si>
  <si>
    <t>Proceeds from short term financial investments</t>
  </si>
  <si>
    <t>-</t>
  </si>
  <si>
    <t>Incasari din investitii financiare</t>
  </si>
  <si>
    <t>Proceeds from financial investments</t>
  </si>
  <si>
    <t>Plati aferente activelor necorporale</t>
  </si>
  <si>
    <t>Payments for intangible assets</t>
  </si>
  <si>
    <t>Numerar net generat/utilizat în activitati de investitii</t>
  </si>
  <si>
    <t>Net cash generated by/used in investing activities</t>
  </si>
  <si>
    <t>Fluxuri de numerar din activitati de finantare</t>
  </si>
  <si>
    <t>Plati de leasing</t>
  </si>
  <si>
    <t>Payments of lease liabilities</t>
  </si>
  <si>
    <t xml:space="preserve"> Incasari/rambursari de impumuturi bancare </t>
  </si>
  <si>
    <t>Proceeds from/repayment of bank loans</t>
  </si>
  <si>
    <t xml:space="preserve"> Plati dividende </t>
  </si>
  <si>
    <t>Payment of dividends</t>
  </si>
  <si>
    <t>Numerar net generat de/utilizat in activitati de finantare</t>
  </si>
  <si>
    <t>Net cash generated by/used in financing activities</t>
  </si>
  <si>
    <t>Crestere neta a numerarului si a echivalentelor de numerar</t>
  </si>
  <si>
    <t>Net increase in cash and cash equivalents</t>
  </si>
  <si>
    <t>Numerar si echivalente de numerar la începutul anului financiar</t>
  </si>
  <si>
    <t>Cash and cash equivalents at the beginning of the year</t>
  </si>
  <si>
    <t>Efectul ratei de schimb asupra soldului de numerar in valute</t>
  </si>
  <si>
    <t>Effects of exchange rate changes on the balance of cash held in foreign currencies</t>
  </si>
  <si>
    <t>Numerar si echivalente de numerar la sfarsitul anului financiar</t>
  </si>
  <si>
    <t>Cash and cash equivalents at the end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</si>
</sst>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-* #,##0\ _l_e_i_-;\-* #,##0\ _l_e_i_-;_-* &quot;-&quot;??\ _l_e_i_-;_-@_-"/>
    <numFmt numFmtId="166" formatCode="_(* #,##0.00_);_(* \(#,##0.00\);_(* &quot;-&quot;_);_(@_)"/>
    <numFmt numFmtId="167" formatCode="_-* #,##0_-;\-* #,##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0.5"/>
      <name val="Candara"/>
      <family val="2"/>
    </font>
    <font>
      <sz val="10.5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i/>
      <sz val="11"/>
      <name val="Candara"/>
      <family val="2"/>
    </font>
    <font>
      <sz val="11"/>
      <color theme="3" tint="-0.499984740745262"/>
      <name val="Candara"/>
      <family val="2"/>
    </font>
    <font>
      <i/>
      <sz val="11"/>
      <color theme="1"/>
      <name val="Candara"/>
      <family val="2"/>
    </font>
    <font>
      <sz val="11"/>
      <color theme="0"/>
      <name val="Candara"/>
      <family val="2"/>
    </font>
    <font>
      <i/>
      <sz val="11"/>
      <color theme="0"/>
      <name val="Candara"/>
      <family val="2"/>
    </font>
    <font>
      <b/>
      <sz val="10.5"/>
      <color theme="0"/>
      <name val="Candara"/>
      <family val="2"/>
    </font>
    <font>
      <sz val="10.5"/>
      <color theme="0"/>
      <name val="Candara"/>
      <family val="2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indexed="8"/>
      <name val="Trebuchet MS"/>
      <family val="2"/>
    </font>
    <font>
      <b/>
      <sz val="18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</font>
    <font>
      <b/>
      <sz val="13.5"/>
      <color theme="1"/>
      <name val="Garamond"/>
      <family val="1"/>
    </font>
    <font>
      <sz val="14"/>
      <color theme="3" tint="-0.499984740745262"/>
      <name val="Candara"/>
      <family val="2"/>
    </font>
    <font>
      <u/>
      <sz val="14"/>
      <color theme="3" tint="-0.499984740745262"/>
      <name val="Candara"/>
      <family val="2"/>
    </font>
    <font>
      <i/>
      <sz val="10.5"/>
      <name val="Candara"/>
      <family val="2"/>
    </font>
    <font>
      <sz val="11.5"/>
      <color theme="1"/>
      <name val="Candara"/>
      <family val="2"/>
    </font>
    <font>
      <sz val="11"/>
      <color rgb="FFC00000"/>
      <name val="Candara"/>
      <family val="2"/>
    </font>
    <font>
      <b/>
      <sz val="16"/>
      <color theme="1"/>
      <name val="Candara"/>
      <family val="2"/>
    </font>
    <font>
      <b/>
      <u/>
      <sz val="11"/>
      <color theme="1"/>
      <name val="Candara"/>
      <family val="2"/>
    </font>
    <font>
      <sz val="10.5"/>
      <color theme="1"/>
      <name val="Candara"/>
      <family val="2"/>
    </font>
    <font>
      <b/>
      <sz val="10.5"/>
      <color theme="1"/>
      <name val="Candara"/>
      <family val="2"/>
    </font>
    <font>
      <sz val="10.5"/>
      <color theme="3" tint="-0.499984740745262"/>
      <name val="Candara"/>
      <family val="2"/>
    </font>
    <font>
      <b/>
      <sz val="10.5"/>
      <color theme="3" tint="-0.499984740745262"/>
      <name val="Candara"/>
      <family val="2"/>
    </font>
    <font>
      <b/>
      <sz val="11"/>
      <color theme="2" tint="-0.89999084444715716"/>
      <name val="Candara"/>
      <family val="2"/>
    </font>
    <font>
      <b/>
      <u/>
      <sz val="11"/>
      <color theme="2" tint="-0.89999084444715716"/>
      <name val="Candara"/>
      <family val="2"/>
    </font>
    <font>
      <i/>
      <sz val="11"/>
      <color theme="2" tint="-0.89999084444715716"/>
      <name val="Candara"/>
      <family val="2"/>
    </font>
    <font>
      <sz val="11"/>
      <color theme="2" tint="-0.89999084444715716"/>
      <name val="Candara"/>
      <family val="2"/>
    </font>
    <font>
      <b/>
      <i/>
      <sz val="11"/>
      <color theme="2" tint="-0.89999084444715716"/>
      <name val="Candara"/>
      <family val="2"/>
    </font>
    <font>
      <sz val="11"/>
      <color theme="2" tint="-0.89999084444715716"/>
      <name val="Calibri"/>
      <family val="2"/>
      <scheme val="minor"/>
    </font>
    <font>
      <i/>
      <sz val="10.5"/>
      <color theme="2" tint="-0.89999084444715716"/>
      <name val="Candara"/>
      <family val="2"/>
    </font>
    <font>
      <i/>
      <u/>
      <sz val="11"/>
      <color theme="2" tint="-0.89999084444715716"/>
      <name val="Candara"/>
      <family val="2"/>
    </font>
    <font>
      <b/>
      <sz val="11"/>
      <color theme="0"/>
      <name val="Candara"/>
      <family val="2"/>
    </font>
    <font>
      <b/>
      <sz val="11"/>
      <color theme="3" tint="-0.499984740745262"/>
      <name val="Candara"/>
      <family val="2"/>
    </font>
    <font>
      <b/>
      <i/>
      <sz val="11"/>
      <name val="Candara"/>
      <family val="2"/>
    </font>
    <font>
      <b/>
      <i/>
      <sz val="11"/>
      <color theme="1"/>
      <name val="Candara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19EBC"/>
        <bgColor indexed="64"/>
      </patternFill>
    </fill>
    <fill>
      <patternFill patternType="solid">
        <fgColor rgb="FF6DCEE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mediumDashDot">
        <color theme="9" tint="-0.499984740745262"/>
      </left>
      <right/>
      <top style="mediumDashDot">
        <color theme="9" tint="-0.499984740745262"/>
      </top>
      <bottom style="mediumDashDot">
        <color theme="9" tint="-0.499984740745262"/>
      </bottom>
      <diagonal/>
    </border>
    <border>
      <left/>
      <right/>
      <top style="mediumDashDot">
        <color theme="9" tint="-0.499984740745262"/>
      </top>
      <bottom style="mediumDashDot">
        <color theme="9" tint="-0.499984740745262"/>
      </bottom>
      <diagonal/>
    </border>
    <border>
      <left/>
      <right style="mediumDashDot">
        <color theme="9" tint="-0.499984740745262"/>
      </right>
      <top style="mediumDashDot">
        <color theme="9" tint="-0.499984740745262"/>
      </top>
      <bottom style="mediumDashDot">
        <color theme="9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21" fillId="0" borderId="0" applyNumberFormat="0" applyFill="0" applyBorder="0" applyAlignment="0" applyProtection="0"/>
    <xf numFmtId="0" fontId="22" fillId="5" borderId="3" applyNumberFormat="0" applyBorder="0" applyProtection="0">
      <alignment vertical="center"/>
    </xf>
  </cellStyleXfs>
  <cellXfs count="252">
    <xf numFmtId="0" fontId="0" fillId="0" borderId="0" xfId="0"/>
    <xf numFmtId="0" fontId="8" fillId="0" borderId="0" xfId="0" applyFont="1"/>
    <xf numFmtId="164" fontId="10" fillId="2" borderId="0" xfId="3" applyNumberFormat="1" applyFont="1" applyFill="1" applyAlignment="1">
      <alignment vertical="center"/>
    </xf>
    <xf numFmtId="164" fontId="10" fillId="2" borderId="0" xfId="3" applyNumberFormat="1" applyFont="1" applyFill="1" applyAlignment="1">
      <alignment vertical="top" wrapText="1"/>
    </xf>
    <xf numFmtId="164" fontId="9" fillId="2" borderId="1" xfId="3" applyNumberFormat="1" applyFont="1" applyFill="1" applyBorder="1" applyAlignment="1">
      <alignment vertical="center"/>
    </xf>
    <xf numFmtId="164" fontId="10" fillId="2" borderId="0" xfId="0" applyNumberFormat="1" applyFont="1" applyFill="1"/>
    <xf numFmtId="164" fontId="11" fillId="2" borderId="0" xfId="3" applyNumberFormat="1" applyFont="1" applyFill="1" applyAlignment="1">
      <alignment wrapText="1"/>
    </xf>
    <xf numFmtId="164" fontId="11" fillId="2" borderId="0" xfId="3" applyNumberFormat="1" applyFont="1" applyFill="1" applyAlignment="1">
      <alignment vertical="center"/>
    </xf>
    <xf numFmtId="3" fontId="13" fillId="2" borderId="0" xfId="0" applyNumberFormat="1" applyFont="1" applyFill="1"/>
    <xf numFmtId="0" fontId="11" fillId="0" borderId="0" xfId="0" applyFont="1"/>
    <xf numFmtId="0" fontId="15" fillId="0" borderId="0" xfId="0" applyFont="1"/>
    <xf numFmtId="3" fontId="17" fillId="4" borderId="0" xfId="0" applyNumberFormat="1" applyFont="1" applyFill="1"/>
    <xf numFmtId="3" fontId="8" fillId="0" borderId="0" xfId="0" applyNumberFormat="1" applyFont="1"/>
    <xf numFmtId="164" fontId="12" fillId="2" borderId="0" xfId="3" applyNumberFormat="1" applyFont="1" applyFill="1" applyAlignment="1">
      <alignment vertical="center"/>
    </xf>
    <xf numFmtId="10" fontId="11" fillId="2" borderId="0" xfId="2" applyNumberFormat="1" applyFont="1" applyFill="1" applyAlignment="1">
      <alignment horizontal="right" wrapText="1"/>
    </xf>
    <xf numFmtId="166" fontId="11" fillId="2" borderId="0" xfId="3" applyNumberFormat="1" applyFont="1" applyFill="1" applyAlignment="1">
      <alignment horizontal="right" wrapText="1"/>
    </xf>
    <xf numFmtId="9" fontId="11" fillId="2" borderId="0" xfId="2" applyFont="1" applyFill="1" applyAlignment="1">
      <alignment horizontal="right" wrapText="1"/>
    </xf>
    <xf numFmtId="164" fontId="11" fillId="2" borderId="0" xfId="3" applyNumberFormat="1" applyFont="1" applyFill="1" applyAlignment="1">
      <alignment horizontal="right" wrapText="1"/>
    </xf>
    <xf numFmtId="167" fontId="11" fillId="2" borderId="0" xfId="3" applyNumberFormat="1" applyFont="1" applyFill="1" applyAlignment="1">
      <alignment horizontal="right" wrapText="1"/>
    </xf>
    <xf numFmtId="0" fontId="8" fillId="0" borderId="0" xfId="0" applyFont="1" applyAlignment="1">
      <alignment vertical="center"/>
    </xf>
    <xf numFmtId="0" fontId="5" fillId="0" borderId="0" xfId="0" applyFont="1"/>
    <xf numFmtId="0" fontId="5" fillId="6" borderId="0" xfId="0" applyFont="1" applyFill="1"/>
    <xf numFmtId="0" fontId="5" fillId="8" borderId="0" xfId="0" applyFont="1" applyFill="1"/>
    <xf numFmtId="0" fontId="5" fillId="7" borderId="0" xfId="0" applyFont="1" applyFill="1"/>
    <xf numFmtId="0" fontId="5" fillId="0" borderId="0" xfId="0" applyFont="1" applyAlignment="1">
      <alignment horizontal="center"/>
    </xf>
    <xf numFmtId="167" fontId="5" fillId="0" borderId="0" xfId="1" applyNumberFormat="1" applyFont="1"/>
    <xf numFmtId="167" fontId="5" fillId="0" borderId="0" xfId="0" applyNumberFormat="1" applyFont="1" applyAlignment="1">
      <alignment horizontal="center"/>
    </xf>
    <xf numFmtId="165" fontId="4" fillId="2" borderId="0" xfId="1" applyNumberFormat="1" applyFont="1" applyFill="1"/>
    <xf numFmtId="0" fontId="31" fillId="0" borderId="0" xfId="0" applyFont="1"/>
    <xf numFmtId="0" fontId="3" fillId="0" borderId="0" xfId="0" applyFont="1"/>
    <xf numFmtId="167" fontId="5" fillId="0" borderId="0" xfId="0" applyNumberFormat="1" applyFont="1"/>
    <xf numFmtId="0" fontId="2" fillId="0" borderId="0" xfId="0" applyFont="1"/>
    <xf numFmtId="167" fontId="5" fillId="9" borderId="0" xfId="1" applyNumberFormat="1" applyFont="1" applyFill="1"/>
    <xf numFmtId="0" fontId="5" fillId="6" borderId="0" xfId="0" applyFont="1" applyFill="1" applyAlignment="1">
      <alignment horizontal="right"/>
    </xf>
    <xf numFmtId="165" fontId="1" fillId="2" borderId="0" xfId="1" applyNumberFormat="1" applyFont="1" applyFill="1"/>
    <xf numFmtId="0" fontId="1" fillId="0" borderId="0" xfId="0" applyFont="1" applyAlignment="1">
      <alignment horizontal="right"/>
    </xf>
    <xf numFmtId="0" fontId="1" fillId="0" borderId="0" xfId="0" applyFont="1"/>
    <xf numFmtId="0" fontId="31" fillId="10" borderId="0" xfId="0" applyFont="1" applyFill="1"/>
    <xf numFmtId="0" fontId="24" fillId="0" borderId="0" xfId="0" applyFont="1"/>
    <xf numFmtId="10" fontId="12" fillId="2" borderId="0" xfId="2" applyNumberFormat="1" applyFont="1" applyFill="1" applyAlignment="1">
      <alignment horizontal="right" wrapText="1"/>
    </xf>
    <xf numFmtId="164" fontId="8" fillId="0" borderId="0" xfId="0" applyNumberFormat="1" applyFont="1"/>
    <xf numFmtId="43" fontId="5" fillId="0" borderId="0" xfId="1" applyFont="1"/>
    <xf numFmtId="43" fontId="1" fillId="0" borderId="0" xfId="1" applyFont="1"/>
    <xf numFmtId="0" fontId="1" fillId="0" borderId="0" xfId="0" applyFont="1" applyAlignment="1">
      <alignment horizontal="center"/>
    </xf>
    <xf numFmtId="167" fontId="1" fillId="0" borderId="0" xfId="0" applyNumberFormat="1" applyFont="1"/>
    <xf numFmtId="167" fontId="1" fillId="0" borderId="0" xfId="1" applyNumberFormat="1" applyFont="1"/>
    <xf numFmtId="9" fontId="1" fillId="0" borderId="0" xfId="2" applyFont="1"/>
    <xf numFmtId="167" fontId="11" fillId="0" borderId="0" xfId="1" applyNumberFormat="1" applyFont="1"/>
    <xf numFmtId="9" fontId="11" fillId="0" borderId="0" xfId="2" applyFont="1"/>
    <xf numFmtId="167" fontId="12" fillId="0" borderId="0" xfId="0" applyNumberFormat="1" applyFont="1"/>
    <xf numFmtId="9" fontId="8" fillId="0" borderId="0" xfId="2" applyFont="1"/>
    <xf numFmtId="0" fontId="30" fillId="0" borderId="0" xfId="0" applyFont="1"/>
    <xf numFmtId="9" fontId="11" fillId="2" borderId="0" xfId="2" applyFont="1" applyFill="1" applyAlignment="1">
      <alignment vertical="center"/>
    </xf>
    <xf numFmtId="9" fontId="16" fillId="0" borderId="0" xfId="2" applyFont="1"/>
    <xf numFmtId="164" fontId="11" fillId="2" borderId="5" xfId="3" applyNumberFormat="1" applyFont="1" applyFill="1" applyBorder="1" applyAlignment="1">
      <alignment vertical="center"/>
    </xf>
    <xf numFmtId="164" fontId="1" fillId="0" borderId="0" xfId="0" applyNumberFormat="1" applyFont="1"/>
    <xf numFmtId="3" fontId="5" fillId="0" borderId="0" xfId="0" applyNumberFormat="1" applyFont="1"/>
    <xf numFmtId="9" fontId="5" fillId="0" borderId="0" xfId="2" applyFont="1"/>
    <xf numFmtId="0" fontId="1" fillId="7" borderId="0" xfId="0" applyFont="1" applyFill="1"/>
    <xf numFmtId="164" fontId="18" fillId="11" borderId="7" xfId="3" applyNumberFormat="1" applyFont="1" applyFill="1" applyBorder="1" applyAlignment="1">
      <alignment vertical="center" wrapText="1"/>
    </xf>
    <xf numFmtId="0" fontId="34" fillId="0" borderId="0" xfId="0" applyFont="1"/>
    <xf numFmtId="0" fontId="19" fillId="0" borderId="0" xfId="0" applyFont="1"/>
    <xf numFmtId="0" fontId="18" fillId="13" borderId="7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4" fontId="34" fillId="0" borderId="0" xfId="0" applyNumberFormat="1" applyFont="1"/>
    <xf numFmtId="0" fontId="36" fillId="0" borderId="0" xfId="0" applyFont="1"/>
    <xf numFmtId="10" fontId="36" fillId="0" borderId="0" xfId="2" applyNumberFormat="1" applyFont="1"/>
    <xf numFmtId="10" fontId="10" fillId="14" borderId="0" xfId="2" applyNumberFormat="1" applyFont="1" applyFill="1"/>
    <xf numFmtId="0" fontId="10" fillId="0" borderId="0" xfId="0" applyFont="1"/>
    <xf numFmtId="10" fontId="29" fillId="2" borderId="0" xfId="2" applyNumberFormat="1" applyFont="1" applyFill="1"/>
    <xf numFmtId="10" fontId="29" fillId="14" borderId="0" xfId="2" applyNumberFormat="1" applyFont="1" applyFill="1"/>
    <xf numFmtId="10" fontId="36" fillId="2" borderId="0" xfId="2" applyNumberFormat="1" applyFont="1" applyFill="1"/>
    <xf numFmtId="9" fontId="37" fillId="2" borderId="1" xfId="2" applyFont="1" applyFill="1" applyBorder="1" applyAlignment="1">
      <alignment vertical="center"/>
    </xf>
    <xf numFmtId="9" fontId="37" fillId="2" borderId="1" xfId="2" applyFont="1" applyFill="1" applyBorder="1"/>
    <xf numFmtId="9" fontId="9" fillId="14" borderId="1" xfId="2" applyFont="1" applyFill="1" applyBorder="1"/>
    <xf numFmtId="0" fontId="10" fillId="0" borderId="0" xfId="0" applyFont="1" applyAlignment="1">
      <alignment vertical="center"/>
    </xf>
    <xf numFmtId="10" fontId="29" fillId="2" borderId="0" xfId="2" applyNumberFormat="1" applyFont="1" applyFill="1" applyAlignment="1">
      <alignment vertical="center"/>
    </xf>
    <xf numFmtId="10" fontId="29" fillId="14" borderId="0" xfId="2" applyNumberFormat="1" applyFont="1" applyFill="1" applyAlignment="1">
      <alignment vertical="center"/>
    </xf>
    <xf numFmtId="0" fontId="5" fillId="14" borderId="0" xfId="0" applyFont="1" applyFill="1"/>
    <xf numFmtId="0" fontId="24" fillId="14" borderId="0" xfId="0" applyFont="1" applyFill="1"/>
    <xf numFmtId="0" fontId="24" fillId="14" borderId="0" xfId="0" applyFont="1" applyFill="1" applyAlignment="1">
      <alignment vertical="center"/>
    </xf>
    <xf numFmtId="0" fontId="25" fillId="17" borderId="0" xfId="0" applyFont="1" applyFill="1" applyAlignment="1">
      <alignment vertical="center"/>
    </xf>
    <xf numFmtId="0" fontId="0" fillId="17" borderId="0" xfId="0" applyFill="1"/>
    <xf numFmtId="0" fontId="24" fillId="17" borderId="0" xfId="0" applyFont="1" applyFill="1"/>
    <xf numFmtId="0" fontId="20" fillId="17" borderId="0" xfId="0" applyFont="1" applyFill="1" applyAlignment="1">
      <alignment vertical="center"/>
    </xf>
    <xf numFmtId="0" fontId="26" fillId="17" borderId="0" xfId="0" applyFont="1" applyFill="1" applyAlignment="1">
      <alignment horizontal="justify" vertical="center"/>
    </xf>
    <xf numFmtId="0" fontId="27" fillId="17" borderId="0" xfId="0" applyFont="1" applyFill="1"/>
    <xf numFmtId="0" fontId="14" fillId="17" borderId="0" xfId="0" applyFont="1" applyFill="1"/>
    <xf numFmtId="0" fontId="8" fillId="17" borderId="0" xfId="0" applyFont="1" applyFill="1"/>
    <xf numFmtId="0" fontId="28" fillId="17" borderId="0" xfId="5" applyFont="1" applyFill="1"/>
    <xf numFmtId="0" fontId="41" fillId="18" borderId="0" xfId="0" applyFont="1" applyFill="1" applyAlignment="1">
      <alignment horizontal="left" vertical="top" wrapText="1"/>
    </xf>
    <xf numFmtId="0" fontId="43" fillId="18" borderId="0" xfId="0" applyFont="1" applyFill="1"/>
    <xf numFmtId="0" fontId="41" fillId="18" borderId="0" xfId="0" applyFont="1" applyFill="1" applyAlignment="1">
      <alignment vertical="top" wrapText="1"/>
    </xf>
    <xf numFmtId="0" fontId="38" fillId="18" borderId="0" xfId="0" applyFont="1" applyFill="1" applyAlignment="1">
      <alignment vertical="top" wrapText="1"/>
    </xf>
    <xf numFmtId="0" fontId="44" fillId="18" borderId="0" xfId="0" applyFont="1" applyFill="1"/>
    <xf numFmtId="0" fontId="40" fillId="18" borderId="0" xfId="0" applyFont="1" applyFill="1"/>
    <xf numFmtId="0" fontId="45" fillId="18" borderId="0" xfId="0" applyFont="1" applyFill="1"/>
    <xf numFmtId="43" fontId="8" fillId="0" borderId="0" xfId="1" applyFont="1"/>
    <xf numFmtId="10" fontId="8" fillId="0" borderId="0" xfId="2" applyNumberFormat="1" applyFont="1"/>
    <xf numFmtId="0" fontId="46" fillId="11" borderId="7" xfId="0" applyFont="1" applyFill="1" applyBorder="1" applyAlignment="1">
      <alignment horizontal="center" vertical="center" wrapText="1"/>
    </xf>
    <xf numFmtId="10" fontId="46" fillId="11" borderId="7" xfId="2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/>
    <xf numFmtId="164" fontId="11" fillId="2" borderId="0" xfId="3" applyNumberFormat="1" applyFont="1" applyFill="1" applyAlignment="1">
      <alignment vertical="top" wrapText="1"/>
    </xf>
    <xf numFmtId="3" fontId="12" fillId="2" borderId="7" xfId="0" applyNumberFormat="1" applyFont="1" applyFill="1" applyBorder="1"/>
    <xf numFmtId="164" fontId="11" fillId="2" borderId="0" xfId="0" applyNumberFormat="1" applyFont="1" applyFill="1"/>
    <xf numFmtId="0" fontId="46" fillId="13" borderId="7" xfId="0" applyFont="1" applyFill="1" applyBorder="1" applyAlignment="1">
      <alignment horizontal="center" vertical="center"/>
    </xf>
    <xf numFmtId="164" fontId="11" fillId="12" borderId="0" xfId="3" applyNumberFormat="1" applyFont="1" applyFill="1" applyAlignment="1">
      <alignment wrapText="1"/>
    </xf>
    <xf numFmtId="164" fontId="11" fillId="12" borderId="0" xfId="3" applyNumberFormat="1" applyFont="1" applyFill="1" applyAlignment="1">
      <alignment vertical="center"/>
    </xf>
    <xf numFmtId="164" fontId="12" fillId="2" borderId="7" xfId="3" applyNumberFormat="1" applyFont="1" applyFill="1" applyBorder="1" applyAlignment="1">
      <alignment wrapText="1"/>
    </xf>
    <xf numFmtId="164" fontId="12" fillId="12" borderId="7" xfId="3" applyNumberFormat="1" applyFont="1" applyFill="1" applyBorder="1" applyAlignment="1">
      <alignment wrapText="1"/>
    </xf>
    <xf numFmtId="3" fontId="11" fillId="2" borderId="0" xfId="0" applyNumberFormat="1" applyFont="1" applyFill="1" applyAlignment="1">
      <alignment vertical="center"/>
    </xf>
    <xf numFmtId="3" fontId="11" fillId="12" borderId="0" xfId="0" applyNumberFormat="1" applyFont="1" applyFill="1" applyAlignment="1">
      <alignment vertical="center"/>
    </xf>
    <xf numFmtId="3" fontId="47" fillId="2" borderId="1" xfId="0" applyNumberFormat="1" applyFont="1" applyFill="1" applyBorder="1"/>
    <xf numFmtId="3" fontId="12" fillId="12" borderId="1" xfId="0" applyNumberFormat="1" applyFont="1" applyFill="1" applyBorder="1"/>
    <xf numFmtId="3" fontId="11" fillId="12" borderId="0" xfId="0" applyNumberFormat="1" applyFont="1" applyFill="1"/>
    <xf numFmtId="3" fontId="12" fillId="12" borderId="0" xfId="0" applyNumberFormat="1" applyFont="1" applyFill="1"/>
    <xf numFmtId="3" fontId="13" fillId="14" borderId="0" xfId="0" applyNumberFormat="1" applyFont="1" applyFill="1"/>
    <xf numFmtId="43" fontId="8" fillId="0" borderId="0" xfId="0" applyNumberFormat="1" applyFont="1"/>
    <xf numFmtId="164" fontId="46" fillId="19" borderId="1" xfId="3" applyNumberFormat="1" applyFont="1" applyFill="1" applyBorder="1" applyAlignment="1">
      <alignment horizontal="center" vertical="center"/>
    </xf>
    <xf numFmtId="0" fontId="46" fillId="19" borderId="1" xfId="0" applyFont="1" applyFill="1" applyBorder="1" applyAlignment="1">
      <alignment horizontal="center" vertical="center"/>
    </xf>
    <xf numFmtId="0" fontId="16" fillId="19" borderId="0" xfId="0" applyFont="1" applyFill="1"/>
    <xf numFmtId="0" fontId="46" fillId="19" borderId="4" xfId="0" applyFont="1" applyFill="1" applyBorder="1"/>
    <xf numFmtId="164" fontId="38" fillId="20" borderId="0" xfId="3" applyNumberFormat="1" applyFont="1" applyFill="1" applyAlignment="1">
      <alignment vertical="center"/>
    </xf>
    <xf numFmtId="164" fontId="38" fillId="20" borderId="5" xfId="3" applyNumberFormat="1" applyFont="1" applyFill="1" applyBorder="1" applyAlignment="1">
      <alignment vertical="center"/>
    </xf>
    <xf numFmtId="9" fontId="38" fillId="20" borderId="0" xfId="2" applyFont="1" applyFill="1" applyAlignment="1">
      <alignment vertical="center"/>
    </xf>
    <xf numFmtId="3" fontId="11" fillId="14" borderId="0" xfId="0" applyNumberFormat="1" applyFont="1" applyFill="1"/>
    <xf numFmtId="164" fontId="11" fillId="14" borderId="0" xfId="3" applyNumberFormat="1" applyFont="1" applyFill="1" applyAlignment="1">
      <alignment wrapText="1"/>
    </xf>
    <xf numFmtId="10" fontId="11" fillId="14" borderId="0" xfId="2" applyNumberFormat="1" applyFont="1" applyFill="1"/>
    <xf numFmtId="3" fontId="11" fillId="14" borderId="5" xfId="0" applyNumberFormat="1" applyFont="1" applyFill="1" applyBorder="1"/>
    <xf numFmtId="164" fontId="11" fillId="14" borderId="5" xfId="3" applyNumberFormat="1" applyFont="1" applyFill="1" applyBorder="1" applyAlignment="1">
      <alignment vertical="center"/>
    </xf>
    <xf numFmtId="10" fontId="11" fillId="14" borderId="6" xfId="2" applyNumberFormat="1" applyFont="1" applyFill="1" applyBorder="1" applyAlignment="1">
      <alignment vertical="center"/>
    </xf>
    <xf numFmtId="9" fontId="11" fillId="14" borderId="0" xfId="2" applyFont="1" applyFill="1" applyAlignment="1">
      <alignment wrapText="1"/>
    </xf>
    <xf numFmtId="9" fontId="11" fillId="14" borderId="0" xfId="2" applyFont="1" applyFill="1"/>
    <xf numFmtId="0" fontId="35" fillId="20" borderId="0" xfId="0" applyFont="1" applyFill="1"/>
    <xf numFmtId="0" fontId="34" fillId="20" borderId="0" xfId="0" applyFont="1" applyFill="1"/>
    <xf numFmtId="164" fontId="38" fillId="20" borderId="1" xfId="3" applyNumberFormat="1" applyFont="1" applyFill="1" applyBorder="1" applyAlignment="1">
      <alignment vertical="center"/>
    </xf>
    <xf numFmtId="0" fontId="38" fillId="20" borderId="1" xfId="0" applyFont="1" applyFill="1" applyBorder="1" applyAlignment="1">
      <alignment horizontal="center" vertical="center"/>
    </xf>
    <xf numFmtId="164" fontId="41" fillId="20" borderId="0" xfId="3" applyNumberFormat="1" applyFont="1" applyFill="1" applyAlignment="1">
      <alignment wrapText="1"/>
    </xf>
    <xf numFmtId="10" fontId="41" fillId="20" borderId="0" xfId="2" applyNumberFormat="1" applyFont="1" applyFill="1" applyAlignment="1">
      <alignment horizontal="right" wrapText="1"/>
    </xf>
    <xf numFmtId="166" fontId="41" fillId="20" borderId="0" xfId="3" applyNumberFormat="1" applyFont="1" applyFill="1" applyAlignment="1">
      <alignment horizontal="right" wrapText="1"/>
    </xf>
    <xf numFmtId="9" fontId="41" fillId="20" borderId="0" xfId="2" applyFont="1" applyFill="1" applyAlignment="1">
      <alignment horizontal="right" wrapText="1"/>
    </xf>
    <xf numFmtId="164" fontId="41" fillId="20" borderId="0" xfId="3" applyNumberFormat="1" applyFont="1" applyFill="1" applyAlignment="1">
      <alignment horizontal="right" wrapText="1"/>
    </xf>
    <xf numFmtId="10" fontId="38" fillId="20" borderId="0" xfId="2" applyNumberFormat="1" applyFont="1" applyFill="1" applyAlignment="1">
      <alignment horizontal="right" wrapText="1"/>
    </xf>
    <xf numFmtId="164" fontId="41" fillId="20" borderId="0" xfId="3" applyNumberFormat="1" applyFont="1" applyFill="1" applyAlignment="1">
      <alignment vertical="center"/>
    </xf>
    <xf numFmtId="0" fontId="24" fillId="20" borderId="0" xfId="0" applyFont="1" applyFill="1"/>
    <xf numFmtId="0" fontId="12" fillId="20" borderId="1" xfId="0" applyFont="1" applyFill="1" applyBorder="1" applyAlignment="1">
      <alignment horizontal="center" vertical="center"/>
    </xf>
    <xf numFmtId="43" fontId="24" fillId="0" borderId="0" xfId="1" applyFont="1"/>
    <xf numFmtId="0" fontId="1" fillId="0" borderId="0" xfId="0" applyFont="1" applyAlignment="1">
      <alignment wrapText="1"/>
    </xf>
    <xf numFmtId="164" fontId="11" fillId="2" borderId="0" xfId="4" applyNumberFormat="1" applyFont="1" applyFill="1" applyAlignment="1">
      <alignment vertical="center"/>
    </xf>
    <xf numFmtId="164" fontId="11" fillId="2" borderId="0" xfId="4" applyNumberFormat="1" applyFont="1" applyFill="1" applyAlignment="1">
      <alignment vertical="center" wrapText="1"/>
    </xf>
    <xf numFmtId="0" fontId="11" fillId="2" borderId="0" xfId="0" applyFont="1" applyFill="1"/>
    <xf numFmtId="165" fontId="11" fillId="2" borderId="0" xfId="1" applyNumberFormat="1" applyFont="1" applyFill="1"/>
    <xf numFmtId="164" fontId="46" fillId="13" borderId="7" xfId="3" applyNumberFormat="1" applyFont="1" applyFill="1" applyBorder="1" applyAlignment="1">
      <alignment vertical="center"/>
    </xf>
    <xf numFmtId="9" fontId="11" fillId="2" borderId="0" xfId="2" applyFont="1" applyFill="1"/>
    <xf numFmtId="164" fontId="12" fillId="2" borderId="7" xfId="3" applyNumberFormat="1" applyFont="1" applyFill="1" applyBorder="1" applyAlignment="1">
      <alignment vertical="center"/>
    </xf>
    <xf numFmtId="9" fontId="12" fillId="2" borderId="7" xfId="2" applyFont="1" applyFill="1" applyBorder="1"/>
    <xf numFmtId="0" fontId="24" fillId="20" borderId="0" xfId="0" applyFont="1" applyFill="1" applyAlignment="1">
      <alignment wrapText="1"/>
    </xf>
    <xf numFmtId="10" fontId="1" fillId="0" borderId="0" xfId="2" applyNumberFormat="1" applyFont="1"/>
    <xf numFmtId="0" fontId="14" fillId="0" borderId="0" xfId="0" applyFont="1" applyAlignment="1">
      <alignment wrapText="1"/>
    </xf>
    <xf numFmtId="3" fontId="47" fillId="0" borderId="0" xfId="0" applyNumberFormat="1" applyFont="1"/>
    <xf numFmtId="3" fontId="12" fillId="14" borderId="0" xfId="0" applyNumberFormat="1" applyFont="1" applyFill="1"/>
    <xf numFmtId="3" fontId="47" fillId="2" borderId="0" xfId="0" applyNumberFormat="1" applyFont="1" applyFill="1"/>
    <xf numFmtId="164" fontId="47" fillId="2" borderId="1" xfId="3" applyNumberFormat="1" applyFont="1" applyFill="1" applyBorder="1" applyAlignment="1">
      <alignment vertical="center" wrapText="1"/>
    </xf>
    <xf numFmtId="3" fontId="11" fillId="2" borderId="1" xfId="0" applyNumberFormat="1" applyFont="1" applyFill="1" applyBorder="1"/>
    <xf numFmtId="164" fontId="11" fillId="2" borderId="1" xfId="3" applyNumberFormat="1" applyFont="1" applyFill="1" applyBorder="1" applyAlignment="1">
      <alignment wrapText="1"/>
    </xf>
    <xf numFmtId="9" fontId="11" fillId="2" borderId="1" xfId="2" applyFont="1" applyFill="1" applyBorder="1"/>
    <xf numFmtId="164" fontId="47" fillId="2" borderId="2" xfId="3" applyNumberFormat="1" applyFont="1" applyFill="1" applyBorder="1" applyAlignment="1">
      <alignment vertical="center" wrapText="1"/>
    </xf>
    <xf numFmtId="164" fontId="47" fillId="2" borderId="2" xfId="3" applyNumberFormat="1" applyFont="1" applyFill="1" applyBorder="1" applyAlignment="1">
      <alignment vertical="center"/>
    </xf>
    <xf numFmtId="3" fontId="12" fillId="2" borderId="2" xfId="0" applyNumberFormat="1" applyFont="1" applyFill="1" applyBorder="1"/>
    <xf numFmtId="165" fontId="47" fillId="2" borderId="2" xfId="1" applyNumberFormat="1" applyFont="1" applyFill="1" applyBorder="1" applyAlignment="1">
      <alignment horizontal="right"/>
    </xf>
    <xf numFmtId="9" fontId="14" fillId="2" borderId="2" xfId="2" applyFont="1" applyFill="1" applyBorder="1"/>
    <xf numFmtId="3" fontId="14" fillId="0" borderId="0" xfId="0" applyNumberFormat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3" fontId="13" fillId="2" borderId="0" xfId="0" applyNumberFormat="1" applyFont="1" applyFill="1" applyAlignment="1">
      <alignment vertical="center"/>
    </xf>
    <xf numFmtId="3" fontId="13" fillId="14" borderId="0" xfId="0" applyNumberFormat="1" applyFont="1" applyFill="1" applyAlignment="1">
      <alignment vertical="center"/>
    </xf>
    <xf numFmtId="164" fontId="11" fillId="2" borderId="0" xfId="3" applyNumberFormat="1" applyFont="1" applyFill="1" applyAlignment="1">
      <alignment vertical="center" wrapText="1"/>
    </xf>
    <xf numFmtId="164" fontId="47" fillId="2" borderId="1" xfId="3" applyNumberFormat="1" applyFont="1" applyFill="1" applyBorder="1" applyAlignment="1">
      <alignment vertical="center"/>
    </xf>
    <xf numFmtId="3" fontId="12" fillId="14" borderId="1" xfId="0" applyNumberFormat="1" applyFont="1" applyFill="1" applyBorder="1"/>
    <xf numFmtId="164" fontId="47" fillId="2" borderId="0" xfId="3" applyNumberFormat="1" applyFont="1" applyFill="1" applyAlignment="1">
      <alignment vertical="center" wrapText="1"/>
    </xf>
    <xf numFmtId="164" fontId="47" fillId="2" borderId="0" xfId="3" applyNumberFormat="1" applyFont="1" applyFill="1" applyAlignment="1">
      <alignment vertical="center"/>
    </xf>
    <xf numFmtId="3" fontId="12" fillId="2" borderId="0" xfId="0" applyNumberFormat="1" applyFont="1" applyFill="1"/>
    <xf numFmtId="165" fontId="47" fillId="2" borderId="0" xfId="1" applyNumberFormat="1" applyFont="1" applyFill="1" applyBorder="1" applyAlignment="1">
      <alignment horizontal="right"/>
    </xf>
    <xf numFmtId="9" fontId="14" fillId="2" borderId="0" xfId="2" applyFont="1" applyFill="1" applyBorder="1"/>
    <xf numFmtId="0" fontId="24" fillId="20" borderId="0" xfId="0" applyFont="1" applyFill="1" applyAlignment="1">
      <alignment vertical="center" wrapText="1"/>
    </xf>
    <xf numFmtId="0" fontId="16" fillId="0" borderId="0" xfId="0" applyFont="1"/>
    <xf numFmtId="0" fontId="1" fillId="3" borderId="0" xfId="0" applyFont="1" applyFill="1" applyAlignment="1">
      <alignment vertical="center" wrapText="1"/>
    </xf>
    <xf numFmtId="164" fontId="13" fillId="2" borderId="0" xfId="3" applyNumberFormat="1" applyFont="1" applyFill="1" applyAlignment="1">
      <alignment vertical="center"/>
    </xf>
    <xf numFmtId="164" fontId="12" fillId="2" borderId="1" xfId="3" applyNumberFormat="1" applyFont="1" applyFill="1" applyBorder="1" applyAlignment="1">
      <alignment vertical="center" wrapText="1"/>
    </xf>
    <xf numFmtId="164" fontId="12" fillId="2" borderId="1" xfId="3" applyNumberFormat="1" applyFont="1" applyFill="1" applyBorder="1" applyAlignment="1">
      <alignment vertical="center"/>
    </xf>
    <xf numFmtId="3" fontId="12" fillId="2" borderId="1" xfId="0" applyNumberFormat="1" applyFont="1" applyFill="1" applyBorder="1"/>
    <xf numFmtId="164" fontId="48" fillId="2" borderId="1" xfId="3" applyNumberFormat="1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15" fillId="14" borderId="0" xfId="0" applyFont="1" applyFill="1" applyAlignment="1">
      <alignment vertical="center" wrapText="1"/>
    </xf>
    <xf numFmtId="164" fontId="13" fillId="14" borderId="0" xfId="3" applyNumberFormat="1" applyFont="1" applyFill="1" applyAlignment="1">
      <alignment vertical="center"/>
    </xf>
    <xf numFmtId="9" fontId="13" fillId="14" borderId="0" xfId="2" applyFont="1" applyFill="1"/>
    <xf numFmtId="10" fontId="8" fillId="0" borderId="0" xfId="0" applyNumberFormat="1" applyFont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" fillId="2" borderId="0" xfId="0" applyFont="1" applyFill="1"/>
    <xf numFmtId="0" fontId="12" fillId="2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3" fontId="24" fillId="2" borderId="1" xfId="0" applyNumberFormat="1" applyFont="1" applyFill="1" applyBorder="1" applyAlignment="1">
      <alignment horizontal="right"/>
    </xf>
    <xf numFmtId="164" fontId="38" fillId="20" borderId="1" xfId="3" applyNumberFormat="1" applyFont="1" applyFill="1" applyBorder="1" applyAlignment="1">
      <alignment horizontal="right" vertical="center"/>
    </xf>
    <xf numFmtId="164" fontId="11" fillId="2" borderId="0" xfId="3" applyNumberFormat="1" applyFont="1" applyFill="1" applyAlignment="1">
      <alignment horizontal="right" vertical="center"/>
    </xf>
    <xf numFmtId="164" fontId="41" fillId="20" borderId="0" xfId="3" applyNumberFormat="1" applyFont="1" applyFill="1" applyAlignment="1">
      <alignment horizontal="right" vertical="center"/>
    </xf>
    <xf numFmtId="0" fontId="49" fillId="20" borderId="0" xfId="0" applyFont="1" applyFill="1" applyAlignment="1">
      <alignment vertical="top" wrapText="1"/>
    </xf>
    <xf numFmtId="0" fontId="49" fillId="20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49" fillId="2" borderId="1" xfId="0" applyFont="1" applyFill="1" applyBorder="1" applyAlignment="1">
      <alignment vertical="top" wrapText="1"/>
    </xf>
    <xf numFmtId="0" fontId="49" fillId="2" borderId="1" xfId="0" applyFont="1" applyFill="1" applyBorder="1" applyAlignment="1">
      <alignment vertical="top"/>
    </xf>
    <xf numFmtId="164" fontId="12" fillId="2" borderId="1" xfId="3" applyNumberFormat="1" applyFont="1" applyFill="1" applyBorder="1" applyAlignment="1">
      <alignment horizontal="right" vertical="center"/>
    </xf>
    <xf numFmtId="164" fontId="12" fillId="20" borderId="1" xfId="3" applyNumberFormat="1" applyFont="1" applyFill="1" applyBorder="1" applyAlignment="1">
      <alignment horizontal="right" vertical="center"/>
    </xf>
    <xf numFmtId="164" fontId="1" fillId="2" borderId="0" xfId="0" applyNumberFormat="1" applyFont="1" applyFill="1"/>
    <xf numFmtId="0" fontId="1" fillId="2" borderId="0" xfId="0" applyFont="1" applyFill="1" applyAlignment="1">
      <alignment horizontal="right" vertical="center"/>
    </xf>
    <xf numFmtId="0" fontId="41" fillId="20" borderId="0" xfId="0" applyFont="1" applyFill="1" applyAlignment="1">
      <alignment horizontal="right" vertical="center"/>
    </xf>
    <xf numFmtId="0" fontId="24" fillId="20" borderId="8" xfId="0" applyFont="1" applyFill="1" applyBorder="1" applyAlignment="1">
      <alignment vertical="top" wrapText="1"/>
    </xf>
    <xf numFmtId="0" fontId="24" fillId="20" borderId="8" xfId="0" applyFont="1" applyFill="1" applyBorder="1" applyAlignment="1">
      <alignment vertical="top"/>
    </xf>
    <xf numFmtId="0" fontId="11" fillId="2" borderId="0" xfId="0" applyFont="1" applyFill="1" applyAlignment="1">
      <alignment vertical="top" wrapText="1"/>
    </xf>
    <xf numFmtId="164" fontId="11" fillId="20" borderId="0" xfId="3" applyNumberFormat="1" applyFont="1" applyFill="1" applyAlignment="1">
      <alignment horizontal="right" vertical="center"/>
    </xf>
    <xf numFmtId="0" fontId="38" fillId="20" borderId="0" xfId="0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right" vertical="center"/>
    </xf>
    <xf numFmtId="3" fontId="38" fillId="20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3" fontId="1" fillId="2" borderId="0" xfId="0" applyNumberFormat="1" applyFont="1" applyFill="1" applyAlignment="1">
      <alignment horizontal="right"/>
    </xf>
    <xf numFmtId="10" fontId="10" fillId="2" borderId="0" xfId="2" applyNumberFormat="1" applyFont="1" applyFill="1"/>
    <xf numFmtId="3" fontId="10" fillId="2" borderId="0" xfId="0" applyNumberFormat="1" applyFont="1" applyFill="1"/>
    <xf numFmtId="10" fontId="9" fillId="2" borderId="7" xfId="2" applyNumberFormat="1" applyFont="1" applyFill="1" applyBorder="1"/>
    <xf numFmtId="3" fontId="9" fillId="2" borderId="7" xfId="0" applyNumberFormat="1" applyFont="1" applyFill="1" applyBorder="1"/>
    <xf numFmtId="10" fontId="10" fillId="2" borderId="7" xfId="2" applyNumberFormat="1" applyFont="1" applyFill="1" applyBorder="1"/>
    <xf numFmtId="0" fontId="32" fillId="18" borderId="0" xfId="0" applyFont="1" applyFill="1" applyAlignment="1">
      <alignment horizontal="center" vertical="center"/>
    </xf>
    <xf numFmtId="0" fontId="45" fillId="18" borderId="0" xfId="5" applyFont="1" applyFill="1" applyAlignment="1">
      <alignment horizontal="left"/>
    </xf>
    <xf numFmtId="0" fontId="23" fillId="17" borderId="0" xfId="0" applyFont="1" applyFill="1" applyAlignment="1">
      <alignment horizontal="left"/>
    </xf>
    <xf numFmtId="0" fontId="40" fillId="18" borderId="0" xfId="0" applyFont="1" applyFill="1" applyAlignment="1">
      <alignment horizontal="left" vertical="top" wrapText="1"/>
    </xf>
    <xf numFmtId="0" fontId="44" fillId="18" borderId="0" xfId="0" applyFont="1" applyFill="1" applyAlignment="1">
      <alignment horizontal="left" vertical="top" wrapText="1"/>
    </xf>
    <xf numFmtId="0" fontId="41" fillId="18" borderId="0" xfId="0" applyFont="1" applyFill="1" applyAlignment="1">
      <alignment horizontal="left" vertical="top" wrapText="1"/>
    </xf>
    <xf numFmtId="0" fontId="38" fillId="18" borderId="0" xfId="0" applyFont="1" applyFill="1" applyAlignment="1">
      <alignment horizontal="left" vertical="top" wrapText="1"/>
    </xf>
    <xf numFmtId="0" fontId="42" fillId="18" borderId="0" xfId="0" applyFont="1" applyFill="1" applyAlignment="1">
      <alignment horizontal="left" vertical="top" wrapText="1"/>
    </xf>
    <xf numFmtId="0" fontId="46" fillId="19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10" fontId="46" fillId="11" borderId="7" xfId="2" applyNumberFormat="1" applyFont="1" applyFill="1" applyBorder="1" applyAlignment="1">
      <alignment horizontal="center" vertical="center" wrapText="1"/>
    </xf>
    <xf numFmtId="0" fontId="46" fillId="1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5" fillId="16" borderId="0" xfId="0" applyFont="1" applyFill="1" applyAlignment="1">
      <alignment horizontal="left"/>
    </xf>
    <xf numFmtId="0" fontId="35" fillId="6" borderId="0" xfId="0" applyFont="1" applyFill="1" applyAlignment="1">
      <alignment horizontal="left"/>
    </xf>
    <xf numFmtId="0" fontId="24" fillId="20" borderId="0" xfId="0" applyFont="1" applyFill="1" applyAlignment="1">
      <alignment horizontal="left" vertical="center"/>
    </xf>
    <xf numFmtId="0" fontId="24" fillId="20" borderId="0" xfId="0" applyFont="1" applyFill="1" applyAlignment="1">
      <alignment horizontal="left"/>
    </xf>
    <xf numFmtId="0" fontId="24" fillId="15" borderId="0" xfId="0" applyFont="1" applyFill="1" applyAlignment="1">
      <alignment horizontal="left" vertical="center"/>
    </xf>
    <xf numFmtId="0" fontId="24" fillId="15" borderId="0" xfId="0" applyFont="1" applyFill="1" applyAlignment="1">
      <alignment horizontal="left"/>
    </xf>
  </cellXfs>
  <cellStyles count="7">
    <cellStyle name="Comma" xfId="1" builtinId="3"/>
    <cellStyle name="Gen_Black" xfId="6" xr:uid="{00000000-0005-0000-0000-000001000000}"/>
    <cellStyle name="Hyperlink" xfId="5" builtinId="8"/>
    <cellStyle name="Normal" xfId="0" builtinId="0"/>
    <cellStyle name="Normal_FSWS CONSO TERAPLAST IFRS FINAL" xfId="3" xr:uid="{00000000-0005-0000-0000-000004000000}"/>
    <cellStyle name="Normal_SHEET" xfId="4" xr:uid="{00000000-0005-0000-0000-000005000000}"/>
    <cellStyle name="Percent" xfId="2" builtinId="5"/>
  </cellStyles>
  <dxfs count="29"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219EBC"/>
      <color rgb="FF6DCEE5"/>
      <color rgb="FFE0E5EC"/>
      <color rgb="FFD1D7E1"/>
      <color rgb="FF8BC167"/>
      <color rgb="FFFF6D6D"/>
      <color rgb="FFE3E7ED"/>
      <color rgb="FFE8E8E8"/>
      <color rgb="FFFDFDFD"/>
      <color rgb="FFFF6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chemeClr val="bg1"/>
                </a:solidFill>
                <a:latin typeface="Candara" panose="020E0502030303020204" pitchFamily="34" charset="0"/>
              </a:rPr>
              <a:t>Evoulutia</a:t>
            </a:r>
            <a:r>
              <a:rPr lang="en-GB" sz="1100" baseline="0">
                <a:solidFill>
                  <a:schemeClr val="bg1"/>
                </a:solidFill>
                <a:latin typeface="Candara" panose="020E0502030303020204" pitchFamily="34" charset="0"/>
              </a:rPr>
              <a:t> indicatorului Vanzari nete</a:t>
            </a:r>
            <a:endParaRPr lang="en-GB" sz="1100">
              <a:solidFill>
                <a:schemeClr val="bg1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2.613340434669072E-3"/>
          <c:y val="3.2884439733607716E-3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2.0147484922298856E-2"/>
          <c:y val="6.5016831099578313E-3"/>
          <c:w val="0.96834461831348051"/>
          <c:h val="0.84494112489723616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E0E5EC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'2.Sit. Rezultatului global'!$B$3:$H$3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'2.Sit. Rezultatului global'!$B$4:$H$4</c:f>
              <c:numCache>
                <c:formatCode>_(* #,##0_);_(* \(#,##0\);_(* "-"_);_(@_)</c:formatCode>
                <c:ptCount val="7"/>
                <c:pt idx="0">
                  <c:v>183857279.62999997</c:v>
                </c:pt>
                <c:pt idx="1">
                  <c:v>181146471.98999998</c:v>
                </c:pt>
                <c:pt idx="2">
                  <c:v>264737647</c:v>
                </c:pt>
                <c:pt idx="3">
                  <c:v>262801054</c:v>
                </c:pt>
                <c:pt idx="4">
                  <c:v>214230854</c:v>
                </c:pt>
                <c:pt idx="5">
                  <c:v>225633834</c:v>
                </c:pt>
                <c:pt idx="6">
                  <c:v>194436269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4-4C31-927E-67C5C57A7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438480"/>
        <c:axId val="659435200"/>
      </c:lineChart>
      <c:catAx>
        <c:axId val="65943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59435200"/>
        <c:crosses val="autoZero"/>
        <c:auto val="1"/>
        <c:lblAlgn val="ctr"/>
        <c:lblOffset val="100"/>
        <c:noMultiLvlLbl val="0"/>
      </c:catAx>
      <c:valAx>
        <c:axId val="659435200"/>
        <c:scaling>
          <c:orientation val="minMax"/>
          <c:min val="130000000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65943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219EB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HiddenPage!$A$13</c:f>
          <c:strCache>
            <c:ptCount val="1"/>
            <c:pt idx="0">
              <c:v>Componenta indicatorului Datorii curente in 2025</c:v>
            </c:pt>
          </c:strCache>
        </c:strRef>
      </c:tx>
      <c:layout>
        <c:manualLayout>
          <c:xMode val="edge"/>
          <c:yMode val="edge"/>
          <c:x val="0.2677155095049536"/>
          <c:y val="2.3566384463851765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27512861250649062"/>
          <c:y val="0.23230925331302543"/>
          <c:w val="0.68434439567079042"/>
          <c:h val="0.621579163011093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HiddenPage!$Q$16</c:f>
                  <c:strCache>
                    <c:ptCount val="1"/>
                    <c:pt idx="0">
                      <c:v> 49,957,415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{6E3DDE04-76C5-40AE-922D-6814D3AA21C6}</c15:txfldGUID>
                      <c15:f>HiddenPage!$Q$16</c15:f>
                      <c15:dlblFieldTableCache>
                        <c:ptCount val="1"/>
                        <c:pt idx="0">
                          <c:v> 49,957,415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28F-4EB9-B920-1C3101F2934D}"/>
                </c:ext>
              </c:extLst>
            </c:dLbl>
            <c:dLbl>
              <c:idx val="1"/>
              <c:tx>
                <c:strRef>
                  <c:f>HiddenPage!$Q$17</c:f>
                  <c:strCache>
                    <c:ptCount val="1"/>
                    <c:pt idx="0">
                      <c:v> 27,024,480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{7D14DE73-DC10-4663-87F3-DACD78891733}</c15:txfldGUID>
                      <c15:f>HiddenPage!$Q$17</c15:f>
                      <c15:dlblFieldTableCache>
                        <c:ptCount val="1"/>
                        <c:pt idx="0">
                          <c:v> 27,024,480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28F-4EB9-B920-1C3101F2934D}"/>
                </c:ext>
              </c:extLst>
            </c:dLbl>
            <c:dLbl>
              <c:idx val="2"/>
              <c:tx>
                <c:strRef>
                  <c:f>HiddenPage!$Q$18</c:f>
                  <c:strCache>
                    <c:ptCount val="1"/>
                    <c:pt idx="0">
                      <c:v> 3,211,607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{5D541287-FE3C-4F97-ABDE-5121A1569042}</c15:txfldGUID>
                      <c15:f>HiddenPage!$Q$18</c15:f>
                      <c15:dlblFieldTableCache>
                        <c:ptCount val="1"/>
                        <c:pt idx="0">
                          <c:v> 3,211,607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28F-4EB9-B920-1C3101F2934D}"/>
                </c:ext>
              </c:extLst>
            </c:dLbl>
            <c:dLbl>
              <c:idx val="3"/>
              <c:tx>
                <c:strRef>
                  <c:f>HiddenPage!$Q$19</c:f>
                  <c:strCache>
                    <c:ptCount val="1"/>
                    <c:pt idx="0">
                      <c:v> 1,535,442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{8A0B2FAE-8C3A-43E0-A0A4-698B9A9C71F8}</c15:txfldGUID>
                      <c15:f>HiddenPage!$Q$19</c15:f>
                      <c15:dlblFieldTableCache>
                        <c:ptCount val="1"/>
                        <c:pt idx="0">
                          <c:v> 1,535,442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28F-4EB9-B920-1C3101F2934D}"/>
                </c:ext>
              </c:extLst>
            </c:dLbl>
            <c:dLbl>
              <c:idx val="4"/>
              <c:tx>
                <c:strRef>
                  <c:f>HiddenPage!$Q$20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{08DE0D5A-8A8E-4776-816C-0391D386EFD8}</c15:txfldGUID>
                      <c15:f>HiddenPage!$Q$20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28F-4EB9-B920-1C3101F2934D}"/>
                </c:ext>
              </c:extLst>
            </c:dLbl>
            <c:dLbl>
              <c:idx val="5"/>
              <c:tx>
                <c:strRef>
                  <c:f>HiddenPage!$Q$21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{99E03CCB-1C42-4D0D-AD90-2DAE4E596EF0}</c15:txfldGUID>
                      <c15:f>HiddenPage!$Q$21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28F-4EB9-B920-1C3101F293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HiddenPage!$N$16:$N$21</c:f>
              <c:strCache>
                <c:ptCount val="4"/>
                <c:pt idx="0">
                  <c:v>Alte datorii financiare curente</c:v>
                </c:pt>
                <c:pt idx="1">
                  <c:v>Datorii comerciale </c:v>
                </c:pt>
                <c:pt idx="2">
                  <c:v>Alte datorii nefinanciare curente</c:v>
                </c:pt>
                <c:pt idx="3">
                  <c:v>Subventii pe termen scurt</c:v>
                </c:pt>
              </c:strCache>
            </c:strRef>
          </c:cat>
          <c:val>
            <c:numRef>
              <c:f>HiddenPage!$R$16:$R$21</c:f>
              <c:numCache>
                <c:formatCode>0%</c:formatCode>
                <c:ptCount val="6"/>
                <c:pt idx="0">
                  <c:v>0.61125731662457305</c:v>
                </c:pt>
                <c:pt idx="1">
                  <c:v>0.33065984554994371</c:v>
                </c:pt>
                <c:pt idx="2">
                  <c:v>3.92958337991006E-2</c:v>
                </c:pt>
                <c:pt idx="3">
                  <c:v>1.8787004026382625E-2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8F-4EB9-B920-1C3101F29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"/>
        <c:axId val="481667280"/>
        <c:axId val="481664000"/>
      </c:barChart>
      <c:catAx>
        <c:axId val="4816672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481664000"/>
        <c:crosses val="autoZero"/>
        <c:auto val="1"/>
        <c:lblAlgn val="ctr"/>
        <c:lblOffset val="100"/>
        <c:noMultiLvlLbl val="0"/>
      </c:catAx>
      <c:valAx>
        <c:axId val="481664000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48166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HiddenPage!$A$63</c:f>
          <c:strCache>
            <c:ptCount val="1"/>
            <c:pt idx="0">
              <c:v>Evolutie vanzari sector "Polimeri reciclati si compounduri"</c:v>
            </c:pt>
          </c:strCache>
        </c:strRef>
      </c:tx>
      <c:overlay val="0"/>
      <c:spPr>
        <a:solidFill>
          <a:schemeClr val="tx2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182864793753661E-2"/>
          <c:y val="0.19539370078740156"/>
          <c:w val="0.94563427041249271"/>
          <c:h val="0.697206911636045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HiddenPage!$B$75:$H$75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HiddenPage!$B$76:$H$76</c:f>
              <c:numCache>
                <c:formatCode>#,##0</c:formatCode>
                <c:ptCount val="7"/>
                <c:pt idx="0">
                  <c:v>30961367.02</c:v>
                </c:pt>
                <c:pt idx="1">
                  <c:v>23154618.529999994</c:v>
                </c:pt>
                <c:pt idx="2">
                  <c:v>38271305.11999999</c:v>
                </c:pt>
                <c:pt idx="3">
                  <c:v>46502131.649999984</c:v>
                </c:pt>
                <c:pt idx="4">
                  <c:v>37905250.480000019</c:v>
                </c:pt>
                <c:pt idx="5">
                  <c:v>34424642.269999996</c:v>
                </c:pt>
                <c:pt idx="6">
                  <c:v>26256942.330000006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A-4404-A158-C18A70A3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7"/>
        <c:axId val="107431983"/>
        <c:axId val="374026095"/>
      </c:barChart>
      <c:catAx>
        <c:axId val="10743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374026095"/>
        <c:crosses val="autoZero"/>
        <c:auto val="1"/>
        <c:lblAlgn val="ctr"/>
        <c:lblOffset val="100"/>
        <c:noMultiLvlLbl val="0"/>
      </c:catAx>
      <c:valAx>
        <c:axId val="3740260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74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610869214704E-2"/>
          <c:y val="0.13906483144768483"/>
          <c:w val="0.91308389130785295"/>
          <c:h val="0.745945506780782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Snapshots!$A$8</c:f>
              <c:strCache>
                <c:ptCount val="1"/>
                <c:pt idx="0">
                  <c:v>EBITDA Operational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Snapshots!$B$4:$H$4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Snapshots!$B$8:$H$8</c:f>
              <c:numCache>
                <c:formatCode>_(* #,##0_);_(* \(#,##0\);_(* "-"_);_(@_)</c:formatCode>
                <c:ptCount val="7"/>
                <c:pt idx="0">
                  <c:v>12318776.420000032</c:v>
                </c:pt>
                <c:pt idx="1">
                  <c:v>12374753.540000008</c:v>
                </c:pt>
                <c:pt idx="2">
                  <c:v>13987047.550000012</c:v>
                </c:pt>
                <c:pt idx="3">
                  <c:v>14036140.379999965</c:v>
                </c:pt>
                <c:pt idx="4">
                  <c:v>4873275.8999999762</c:v>
                </c:pt>
                <c:pt idx="5">
                  <c:v>579593.64999997616</c:v>
                </c:pt>
                <c:pt idx="6">
                  <c:v>5624071.7500000298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3-4A58-994C-3776C234351D}"/>
            </c:ext>
          </c:extLst>
        </c:ser>
        <c:ser>
          <c:idx val="2"/>
          <c:order val="1"/>
          <c:tx>
            <c:strRef>
              <c:f>Snapshots!$A$10</c:f>
              <c:strCache>
                <c:ptCount val="1"/>
                <c:pt idx="0">
                  <c:v>Profit net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19EBC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Snapshots!$B$4:$H$4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Snapshots!$B$10:$H$10</c:f>
              <c:numCache>
                <c:formatCode>_(* #,##0_);_(* \(#,##0\);_(* "-"_);_(@_)</c:formatCode>
                <c:ptCount val="7"/>
                <c:pt idx="0">
                  <c:v>370097.9599999818</c:v>
                </c:pt>
                <c:pt idx="1">
                  <c:v>869105.43999996176</c:v>
                </c:pt>
                <c:pt idx="2">
                  <c:v>-1447458</c:v>
                </c:pt>
                <c:pt idx="3">
                  <c:v>51471690</c:v>
                </c:pt>
                <c:pt idx="4">
                  <c:v>3313809</c:v>
                </c:pt>
                <c:pt idx="5">
                  <c:v>-5992980</c:v>
                </c:pt>
                <c:pt idx="6">
                  <c:v>1903619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2-4C64-9693-E19E33DD6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"/>
        <c:overlap val="92"/>
        <c:axId val="1053619087"/>
        <c:axId val="1180443935"/>
      </c:barChart>
      <c:catAx>
        <c:axId val="10536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180443935"/>
        <c:crosses val="autoZero"/>
        <c:auto val="1"/>
        <c:lblAlgn val="ctr"/>
        <c:lblOffset val="100"/>
        <c:noMultiLvlLbl val="0"/>
      </c:catAx>
      <c:valAx>
        <c:axId val="11804439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053619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896375731681975"/>
          <c:y val="2.7677358941596456E-2"/>
          <c:w val="0.43344025693212351"/>
          <c:h val="7.1911030760341541E-2"/>
        </c:manualLayout>
      </c:layout>
      <c:overlay val="0"/>
      <c:spPr>
        <a:noFill/>
        <a:ln>
          <a:solidFill>
            <a:schemeClr val="tx2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bg1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100">
                <a:solidFill>
                  <a:schemeClr val="bg1"/>
                </a:solidFill>
                <a:latin typeface="Candara" panose="020E0502030303020204" pitchFamily="34" charset="0"/>
              </a:rPr>
              <a:t>Evolutia indicatorului Vanzari nete</a:t>
            </a:r>
            <a:endParaRPr lang="ro-RO" sz="1100">
              <a:solidFill>
                <a:schemeClr val="bg1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29054614111197696"/>
          <c:y val="0"/>
        </c:manualLayout>
      </c:layout>
      <c:overlay val="0"/>
      <c:spPr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080256031511572E-2"/>
          <c:y val="0.27142420541182366"/>
          <c:w val="0.94583948793697681"/>
          <c:h val="0.62301717963609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219EBC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Snapshots!$B$4:$H$4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Snapshots!$B$5:$H$5</c:f>
              <c:numCache>
                <c:formatCode>_(* #,##0_);_(* \(#,##0\);_(* "-"_);_(@_)</c:formatCode>
                <c:ptCount val="7"/>
                <c:pt idx="0">
                  <c:v>183857279.62999997</c:v>
                </c:pt>
                <c:pt idx="1">
                  <c:v>181146471.98999998</c:v>
                </c:pt>
                <c:pt idx="2">
                  <c:v>264737647</c:v>
                </c:pt>
                <c:pt idx="3">
                  <c:v>262801054</c:v>
                </c:pt>
                <c:pt idx="4">
                  <c:v>214230854</c:v>
                </c:pt>
                <c:pt idx="5">
                  <c:v>225633834</c:v>
                </c:pt>
                <c:pt idx="6">
                  <c:v>194436269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A-4B65-964D-37159381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-27"/>
        <c:axId val="60763824"/>
        <c:axId val="59902576"/>
      </c:barChart>
      <c:catAx>
        <c:axId val="6076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9902576"/>
        <c:crosses val="autoZero"/>
        <c:auto val="1"/>
        <c:lblAlgn val="ctr"/>
        <c:lblOffset val="100"/>
        <c:noMultiLvlLbl val="0"/>
      </c:catAx>
      <c:valAx>
        <c:axId val="59902576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60763824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accent6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HiddenPage!$A$63</c:f>
          <c:strCache>
            <c:ptCount val="1"/>
            <c:pt idx="0">
              <c:v>Evolutie vanzari sector "Polimeri reciclati si compounduri"</c:v>
            </c:pt>
          </c:strCache>
        </c:strRef>
      </c:tx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182864793753661E-2"/>
          <c:y val="0.2649361875222454"/>
          <c:w val="0.94563427041249271"/>
          <c:h val="0.627664459402904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HiddenPage!$B$75:$H$75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HiddenPage!$B$76:$H$76</c:f>
              <c:numCache>
                <c:formatCode>#,##0</c:formatCode>
                <c:ptCount val="7"/>
                <c:pt idx="0">
                  <c:v>30961367.02</c:v>
                </c:pt>
                <c:pt idx="1">
                  <c:v>23154618.529999994</c:v>
                </c:pt>
                <c:pt idx="2">
                  <c:v>38271305.11999999</c:v>
                </c:pt>
                <c:pt idx="3">
                  <c:v>46502131.649999984</c:v>
                </c:pt>
                <c:pt idx="4">
                  <c:v>37905250.480000019</c:v>
                </c:pt>
                <c:pt idx="5">
                  <c:v>34424642.269999996</c:v>
                </c:pt>
                <c:pt idx="6">
                  <c:v>26256942.330000006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1-414A-BCD2-866E04ED5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7"/>
        <c:axId val="107431983"/>
        <c:axId val="374026095"/>
      </c:barChart>
      <c:catAx>
        <c:axId val="10743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374026095"/>
        <c:crosses val="autoZero"/>
        <c:auto val="1"/>
        <c:lblAlgn val="ctr"/>
        <c:lblOffset val="100"/>
        <c:noMultiLvlLbl val="0"/>
      </c:catAx>
      <c:valAx>
        <c:axId val="3740260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74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</c:f>
          <c:strCache>
            <c:ptCount val="1"/>
            <c:pt idx="0">
              <c:v>Datorii pe termen lung vs. Datorii curente</c:v>
            </c:pt>
          </c:strCache>
        </c:strRef>
      </c:tx>
      <c:layout>
        <c:manualLayout>
          <c:xMode val="edge"/>
          <c:yMode val="edge"/>
          <c:x val="0.60005873942750176"/>
          <c:y val="1.4362797370776868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15939242098869871"/>
          <c:y val="0.11303977693424487"/>
          <c:w val="0.77828418988610026"/>
          <c:h val="0.66846004422349148"/>
        </c:manualLayout>
      </c:layout>
      <c:lineChart>
        <c:grouping val="standard"/>
        <c:varyColors val="0"/>
        <c:ser>
          <c:idx val="0"/>
          <c:order val="0"/>
          <c:tx>
            <c:strRef>
              <c:f>HiddenPage!$A$4</c:f>
              <c:strCache>
                <c:ptCount val="1"/>
                <c:pt idx="0">
                  <c:v>Datorii pe termen lung</c:v>
                </c:pt>
              </c:strCache>
            </c:strRef>
          </c:tx>
          <c:spPr>
            <a:ln w="1905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HiddenPage!$B$4:$H$4</c:f>
              <c:numCache>
                <c:formatCode>_-* #,##0_-;\-* #,##0_-;_-* "-"??_-;_-@_-</c:formatCode>
                <c:ptCount val="7"/>
                <c:pt idx="0">
                  <c:v>34213036.980000004</c:v>
                </c:pt>
                <c:pt idx="1">
                  <c:v>25357319.530000001</c:v>
                </c:pt>
                <c:pt idx="2">
                  <c:v>21050092</c:v>
                </c:pt>
                <c:pt idx="3">
                  <c:v>20300611</c:v>
                </c:pt>
                <c:pt idx="4">
                  <c:v>21239183</c:v>
                </c:pt>
                <c:pt idx="5">
                  <c:v>13170661</c:v>
                </c:pt>
                <c:pt idx="6">
                  <c:v>14789980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1-44B5-AFF6-41EB06D27B78}"/>
            </c:ext>
          </c:extLst>
        </c:ser>
        <c:ser>
          <c:idx val="1"/>
          <c:order val="1"/>
          <c:tx>
            <c:strRef>
              <c:f>HiddenPage!$A$5</c:f>
              <c:strCache>
                <c:ptCount val="1"/>
                <c:pt idx="0">
                  <c:v>Datorii curente</c:v>
                </c:pt>
              </c:strCache>
            </c:strRef>
          </c:tx>
          <c:spPr>
            <a:ln w="19050" cap="rnd">
              <a:solidFill>
                <a:srgbClr val="219EBC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HiddenPage!$B$3:$H$3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HiddenPage!$B$5:$H$5</c:f>
              <c:numCache>
                <c:formatCode>_-* #,##0_-;\-* #,##0_-;_-* "-"??_-;_-@_-</c:formatCode>
                <c:ptCount val="7"/>
                <c:pt idx="0">
                  <c:v>74927615.74000001</c:v>
                </c:pt>
                <c:pt idx="1">
                  <c:v>67784319.150000006</c:v>
                </c:pt>
                <c:pt idx="2">
                  <c:v>88827897</c:v>
                </c:pt>
                <c:pt idx="3">
                  <c:v>99543850</c:v>
                </c:pt>
                <c:pt idx="4">
                  <c:v>69078926</c:v>
                </c:pt>
                <c:pt idx="5">
                  <c:v>81444885</c:v>
                </c:pt>
                <c:pt idx="6">
                  <c:v>81728944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1-44B5-AFF6-41EB06D2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972048"/>
        <c:axId val="608969424"/>
      </c:lineChart>
      <c:catAx>
        <c:axId val="6089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69424"/>
        <c:crosses val="autoZero"/>
        <c:auto val="1"/>
        <c:lblAlgn val="ctr"/>
        <c:lblOffset val="100"/>
        <c:noMultiLvlLbl val="0"/>
      </c:catAx>
      <c:valAx>
        <c:axId val="60896942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7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49623012157207E-3"/>
          <c:y val="0.89729740841549133"/>
          <c:w val="0.99235037698784279"/>
          <c:h val="9.3222450251160854E-2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HiddenPage!$A$7</c:f>
          <c:strCache>
            <c:ptCount val="1"/>
            <c:pt idx="0">
              <c:v>Active pe termen lung vs. Active curente</c:v>
            </c:pt>
          </c:strCache>
        </c:strRef>
      </c:tx>
      <c:layout>
        <c:manualLayout>
          <c:xMode val="edge"/>
          <c:yMode val="edge"/>
          <c:x val="0.65069362485553972"/>
          <c:y val="1.388879988147983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3.064778043816015E-2"/>
          <c:y val="0.16592265446590568"/>
          <c:w val="0.93870443912367973"/>
          <c:h val="0.557198649783199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HiddenPage!$A$10</c:f>
              <c:strCache>
                <c:ptCount val="1"/>
                <c:pt idx="0">
                  <c:v>Active pe termen lung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DCA7D52-5A21-441E-89B6-9C36D61055AF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683-4851-AD74-6A570B3131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913B500-7AF3-498B-8A95-5C6FCCA144DE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683-4851-AD74-6A570B3131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2BC79BF-290D-46D6-B08A-306CFD51A37B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683-4851-AD74-6A570B31319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65A7CF-59CE-4FBC-B407-9E1A3A1167CA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683-4851-AD74-6A570B31319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04A32C2-FEB5-433D-87A5-E05B5DA1DC45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683-4851-AD74-6A570B31319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E0334C0-E270-4A50-8317-A00C7BD4369E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683-4851-AD74-6A570B31319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600281C-C6E7-487A-9EF5-92CC5DD3C1F5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683-4851-AD74-6A570B3131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HiddenPage!$B$9:$H$9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HiddenPage!$B$10:$H$10</c:f>
              <c:numCache>
                <c:formatCode>_-* #,##0_-;\-* #,##0_-;_-* "-"??_-;_-@_-</c:formatCode>
                <c:ptCount val="7"/>
                <c:pt idx="0">
                  <c:v>163480244.93000001</c:v>
                </c:pt>
                <c:pt idx="1">
                  <c:v>152917931.06</c:v>
                </c:pt>
                <c:pt idx="2">
                  <c:v>138364502</c:v>
                </c:pt>
                <c:pt idx="3">
                  <c:v>133313885</c:v>
                </c:pt>
                <c:pt idx="4">
                  <c:v>118936705</c:v>
                </c:pt>
                <c:pt idx="5">
                  <c:v>126388533</c:v>
                </c:pt>
                <c:pt idx="6">
                  <c:v>129078789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HiddenPage!$B$83:$H$83</c15:f>
                <c15:dlblRangeCache>
                  <c:ptCount val="7"/>
                  <c:pt idx="0">
                    <c:v>66%</c:v>
                  </c:pt>
                  <c:pt idx="1">
                    <c:v>66%</c:v>
                  </c:pt>
                  <c:pt idx="2">
                    <c:v>57%</c:v>
                  </c:pt>
                  <c:pt idx="3">
                    <c:v>48%</c:v>
                  </c:pt>
                  <c:pt idx="4">
                    <c:v>49%</c:v>
                  </c:pt>
                  <c:pt idx="5">
                    <c:v>53%</c:v>
                  </c:pt>
                  <c:pt idx="6">
                    <c:v>54%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414-4242-B919-D95F59CFEF20}"/>
            </c:ext>
          </c:extLst>
        </c:ser>
        <c:ser>
          <c:idx val="1"/>
          <c:order val="1"/>
          <c:tx>
            <c:strRef>
              <c:f>HiddenPage!$A$11</c:f>
              <c:strCache>
                <c:ptCount val="1"/>
                <c:pt idx="0">
                  <c:v>Active curente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24341F7-EDA6-41CB-884C-B6A799AFE066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683-4851-AD74-6A570B3131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08ADCD-47F1-4B08-92D5-4CFFD9016CA6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683-4851-AD74-6A570B3131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6B0B93-F755-42DD-BC0E-B950A7586F23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683-4851-AD74-6A570B31319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7948ED3-5D1A-48D6-BE13-002B93AAA242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683-4851-AD74-6A570B31319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91F4028-F37C-4B88-9533-6BA305F497B3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683-4851-AD74-6A570B31319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9B5A50C-7DE7-45A6-82F6-26F4D70FBA53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683-4851-AD74-6A570B31319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D6D892E-F4BA-4966-B671-93C74CE20AF7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683-4851-AD74-6A570B3131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HiddenPage!$B$9:$H$9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HiddenPage!$B$11:$H$11</c:f>
              <c:numCache>
                <c:formatCode>_-* #,##0_-;\-* #,##0_-;_-* "-"??_-;_-@_-</c:formatCode>
                <c:ptCount val="7"/>
                <c:pt idx="0">
                  <c:v>82714660.589999989</c:v>
                </c:pt>
                <c:pt idx="1">
                  <c:v>78436249.86999999</c:v>
                </c:pt>
                <c:pt idx="2">
                  <c:v>105658368</c:v>
                </c:pt>
                <c:pt idx="3">
                  <c:v>146753533</c:v>
                </c:pt>
                <c:pt idx="4">
                  <c:v>122197547</c:v>
                </c:pt>
                <c:pt idx="5">
                  <c:v>110595628</c:v>
                </c:pt>
                <c:pt idx="6">
                  <c:v>110093584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HiddenPage!$B$84:$H$84</c15:f>
                <c15:dlblRangeCache>
                  <c:ptCount val="7"/>
                  <c:pt idx="0">
                    <c:v>34%</c:v>
                  </c:pt>
                  <c:pt idx="1">
                    <c:v>34%</c:v>
                  </c:pt>
                  <c:pt idx="2">
                    <c:v>43%</c:v>
                  </c:pt>
                  <c:pt idx="3">
                    <c:v>52%</c:v>
                  </c:pt>
                  <c:pt idx="4">
                    <c:v>51%</c:v>
                  </c:pt>
                  <c:pt idx="5">
                    <c:v>47%</c:v>
                  </c:pt>
                  <c:pt idx="6">
                    <c:v>46%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6414-4242-B919-D95F59CF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17263200"/>
        <c:axId val="617269760"/>
      </c:barChart>
      <c:lineChart>
        <c:grouping val="stacked"/>
        <c:varyColors val="0"/>
        <c:ser>
          <c:idx val="2"/>
          <c:order val="2"/>
          <c:tx>
            <c:strRef>
              <c:f>HiddenPage!$A$90</c:f>
              <c:strCache>
                <c:ptCount val="1"/>
                <c:pt idx="0">
                  <c:v>Total Active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HiddenPage!$B$86:$H$86</c:f>
              <c:numCache>
                <c:formatCode>_-* #,##0_-;\-* #,##0_-;_-* "-"??_-;_-@_-</c:formatCode>
                <c:ptCount val="7"/>
                <c:pt idx="0">
                  <c:v>246194905.51999998</c:v>
                </c:pt>
                <c:pt idx="1">
                  <c:v>231354180.93000001</c:v>
                </c:pt>
                <c:pt idx="2">
                  <c:v>244022870</c:v>
                </c:pt>
                <c:pt idx="3">
                  <c:v>280067418</c:v>
                </c:pt>
                <c:pt idx="4">
                  <c:v>241134252</c:v>
                </c:pt>
                <c:pt idx="5">
                  <c:v>236984161</c:v>
                </c:pt>
                <c:pt idx="6">
                  <c:v>239172373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683-4851-AD74-6A570B31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63200"/>
        <c:axId val="617269760"/>
      </c:lineChart>
      <c:catAx>
        <c:axId val="6172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17269760"/>
        <c:crosses val="autoZero"/>
        <c:auto val="1"/>
        <c:lblAlgn val="ctr"/>
        <c:lblOffset val="100"/>
        <c:noMultiLvlLbl val="0"/>
      </c:catAx>
      <c:valAx>
        <c:axId val="617269760"/>
        <c:scaling>
          <c:orientation val="minMax"/>
        </c:scaling>
        <c:delete val="1"/>
        <c:axPos val="l"/>
        <c:numFmt formatCode="_-* #,##0_-;\-* #,##0_-;_-* &quot;-&quot;??_-;_-@_-" sourceLinked="1"/>
        <c:majorTickMark val="out"/>
        <c:minorTickMark val="none"/>
        <c:tickLblPos val="nextTo"/>
        <c:crossAx val="61726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322358851093357E-3"/>
          <c:y val="0.84474191826664036"/>
          <c:w val="0.99465054306969369"/>
          <c:h val="0.12773138554772623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1000"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HiddenPage!$D$7</c:f>
          <c:strCache>
            <c:ptCount val="1"/>
            <c:pt idx="0">
              <c:v>2025 structura indicatorului Active</c:v>
            </c:pt>
          </c:strCache>
        </c:strRef>
      </c:tx>
      <c:layout>
        <c:manualLayout>
          <c:xMode val="edge"/>
          <c:yMode val="edge"/>
          <c:x val="1.518478811886635E-2"/>
          <c:y val="9.0947234254817409E-3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1" i="0" u="none" strike="noStrike" kern="1200" cap="all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20770234213799166"/>
          <c:y val="9.0799004775523107E-2"/>
          <c:w val="0.65455547909559686"/>
          <c:h val="0.874458810806874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4-492C-AE55-B7CC0929C209}"/>
              </c:ext>
            </c:extLst>
          </c:dPt>
          <c:dPt>
            <c:idx val="1"/>
            <c:bubble3D val="0"/>
            <c:spPr>
              <a:solidFill>
                <a:srgbClr val="219EBC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4-492C-AE55-B7CC0929C209}"/>
              </c:ext>
            </c:extLst>
          </c:dPt>
          <c:dLbls>
            <c:dLbl>
              <c:idx val="0"/>
              <c:layout>
                <c:manualLayout>
                  <c:x val="-4.7042351080399822E-2"/>
                  <c:y val="-4.2374963193188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58094831901597"/>
                      <c:h val="0.41437213209245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DE4-492C-AE55-B7CC0929C209}"/>
                </c:ext>
              </c:extLst>
            </c:dLbl>
            <c:dLbl>
              <c:idx val="1"/>
              <c:layout>
                <c:manualLayout>
                  <c:x val="2.0161007605885625E-2"/>
                  <c:y val="4.23747546560095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E4-492C-AE55-B7CC0929C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HiddenPage!$A$10:$A$11</c:f>
              <c:strCache>
                <c:ptCount val="2"/>
                <c:pt idx="0">
                  <c:v>Active pe termen lung</c:v>
                </c:pt>
                <c:pt idx="1">
                  <c:v>Active curente</c:v>
                </c:pt>
              </c:strCache>
            </c:strRef>
          </c:cat>
          <c:val>
            <c:numRef>
              <c:f>HiddenPage!$I$10:$I$11</c:f>
              <c:numCache>
                <c:formatCode>_-* #,##0_-;\-* #,##0_-;_-* "-"??_-;_-@_-</c:formatCode>
                <c:ptCount val="2"/>
                <c:pt idx="0">
                  <c:v>129078789</c:v>
                </c:pt>
                <c:pt idx="1">
                  <c:v>110093584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E4-492C-AE55-B7CC0929C20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HiddenPage!$D$23</c:f>
          <c:strCache>
            <c:ptCount val="1"/>
            <c:pt idx="0">
              <c:v>Evolutia indicatorului Total activ in perioada 2019-2025</c:v>
            </c:pt>
          </c:strCache>
        </c:strRef>
      </c:tx>
      <c:layout>
        <c:manualLayout>
          <c:xMode val="edge"/>
          <c:yMode val="edge"/>
          <c:x val="7.6433489292099498E-3"/>
          <c:y val="1.3414945378561496E-2"/>
        </c:manualLayout>
      </c:layout>
      <c:overlay val="0"/>
      <c:spPr>
        <a:solidFill>
          <a:schemeClr val="bg2">
            <a:lumMod val="50000"/>
          </a:schemeClr>
        </a:solidFill>
        <a:ln>
          <a:solidFill>
            <a:schemeClr val="bg1">
              <a:lumMod val="8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3.0482415036314728E-2"/>
          <c:y val="5.4561797984324818E-2"/>
          <c:w val="0.96310057260200999"/>
          <c:h val="0.79568798134078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HiddenPage!$B$32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HiddenPage!$A$33:$A$40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HiddenPage!$B$33:$B$40</c:f>
              <c:numCache>
                <c:formatCode>_-* #,##0\ _l_e_i_-;\-* #,##0\ _l_e_i_-;_-* "-"??\ _l_e_i_-;_-@_-</c:formatCode>
                <c:ptCount val="8"/>
                <c:pt idx="1">
                  <c:v>231354180.93000001</c:v>
                </c:pt>
                <c:pt idx="2">
                  <c:v>231354180.93000001</c:v>
                </c:pt>
                <c:pt idx="3">
                  <c:v>244022870</c:v>
                </c:pt>
                <c:pt idx="4">
                  <c:v>241134252</c:v>
                </c:pt>
                <c:pt idx="5">
                  <c:v>236984161</c:v>
                </c:pt>
                <c:pt idx="6">
                  <c:v>236984161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4-4432-B489-6D95C92EC704}"/>
            </c:ext>
          </c:extLst>
        </c:ser>
        <c:ser>
          <c:idx val="1"/>
          <c:order val="1"/>
          <c:tx>
            <c:strRef>
              <c:f>HiddenPage!$C$32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HiddenPage!$A$33:$A$40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HiddenPage!$C$33:$C$40</c:f>
              <c:numCache>
                <c:formatCode>General</c:formatCode>
                <c:ptCount val="8"/>
                <c:pt idx="7" formatCode="_-* #,##0\ _l_e_i_-;\-* #,##0\ _l_e_i_-;_-* &quot;-&quot;??\ _l_e_i_-;_-@_-">
                  <c:v>239172373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4-4432-B489-6D95C92EC704}"/>
            </c:ext>
          </c:extLst>
        </c:ser>
        <c:ser>
          <c:idx val="2"/>
          <c:order val="2"/>
          <c:tx>
            <c:strRef>
              <c:f>HiddenPage!$D$32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3.8647342995169081E-3"/>
                  <c:y val="-2.8725308768796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EA-4DED-B0E7-85DFAB9BD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HiddenPage!$A$33:$A$40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HiddenPage!$D$33:$D$40</c:f>
              <c:numCache>
                <c:formatCode>_-* #,##0\ _l_e_i_-;\-* #,##0\ _l_e_i_-;_-* "-"??\ _l_e_i_-;_-@_-</c:formatCode>
                <c:ptCount val="8"/>
                <c:pt idx="1">
                  <c:v>14840724.589999974</c:v>
                </c:pt>
                <c:pt idx="2">
                  <c:v>0</c:v>
                </c:pt>
                <c:pt idx="3">
                  <c:v>0</c:v>
                </c:pt>
                <c:pt idx="4">
                  <c:v>38933166</c:v>
                </c:pt>
                <c:pt idx="5">
                  <c:v>4150091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E4-4432-B489-6D95C92EC704}"/>
            </c:ext>
          </c:extLst>
        </c:ser>
        <c:ser>
          <c:idx val="3"/>
          <c:order val="3"/>
          <c:tx>
            <c:strRef>
              <c:f>HiddenPage!$E$32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rgbClr val="8BC167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1219924442456078E-3"/>
                  <c:y val="-3.50833249966031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4-4432-B489-6D95C92EC704}"/>
                </c:ext>
              </c:extLst>
            </c:dLbl>
            <c:dLbl>
              <c:idx val="6"/>
              <c:layout>
                <c:manualLayout>
                  <c:x val="2.7778203188538737E-3"/>
                  <c:y val="-4.58225220745704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EA-4DED-B0E7-85DFAB9BD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HiddenPage!$A$33:$A$40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HiddenPage!$E$33:$E$40</c:f>
              <c:numCache>
                <c:formatCode>_-* #,##0\ _l_e_i_-;\-* #,##0\ _l_e_i_-;_-* "-"??\ _l_e_i_-;_-@_-</c:formatCode>
                <c:ptCount val="8"/>
                <c:pt idx="1">
                  <c:v>0</c:v>
                </c:pt>
                <c:pt idx="2">
                  <c:v>12668689.069999993</c:v>
                </c:pt>
                <c:pt idx="3">
                  <c:v>36044548</c:v>
                </c:pt>
                <c:pt idx="4">
                  <c:v>0</c:v>
                </c:pt>
                <c:pt idx="5">
                  <c:v>0</c:v>
                </c:pt>
                <c:pt idx="6">
                  <c:v>2188212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E4-4432-B489-6D95C92EC704}"/>
            </c:ext>
          </c:extLst>
        </c:ser>
        <c:ser>
          <c:idx val="4"/>
          <c:order val="4"/>
          <c:tx>
            <c:strRef>
              <c:f>HiddenPage!$F$32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19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5E4-4432-B489-6D95C92EC704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7.407407407407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E4-4432-B489-6D95C92EC7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HiddenPage!$A$33:$A$40</c:f>
              <c:numCache>
                <c:formatCode>General</c:formatCode>
                <c:ptCount val="8"/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HiddenPage!$F$33:$F$40</c:f>
              <c:numCache>
                <c:formatCode>_-* #,##0_-;\-* #,##0_-;_-* "-"??_-;_-@_-</c:formatCode>
                <c:ptCount val="8"/>
                <c:pt idx="0">
                  <c:v>246194905.51999998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E4-4432-B489-6D95C92EC7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"/>
        <c:overlap val="100"/>
        <c:axId val="573463936"/>
        <c:axId val="573462624"/>
      </c:barChart>
      <c:catAx>
        <c:axId val="5734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2">
                    <a:lumMod val="10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73462624"/>
        <c:crosses val="autoZero"/>
        <c:auto val="0"/>
        <c:lblAlgn val="ctr"/>
        <c:lblOffset val="100"/>
        <c:noMultiLvlLbl val="0"/>
      </c:catAx>
      <c:valAx>
        <c:axId val="573462624"/>
        <c:scaling>
          <c:orientation val="minMax"/>
        </c:scaling>
        <c:delete val="1"/>
        <c:axPos val="l"/>
        <c:numFmt formatCode="_-* #,##0\ _l_e_i_-;\-* #,##0\ _l_e_i_-;_-* &quot;-&quot;??\ _l_e_i_-;_-@_-" sourceLinked="1"/>
        <c:majorTickMark val="out"/>
        <c:minorTickMark val="none"/>
        <c:tickLblPos val="nextTo"/>
        <c:crossAx val="57346393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2.Sit. Rezultatului global'!A1"/><Relationship Id="rId7" Type="http://schemas.openxmlformats.org/officeDocument/2006/relationships/hyperlink" Target="#Grafice!A1"/><Relationship Id="rId2" Type="http://schemas.openxmlformats.org/officeDocument/2006/relationships/hyperlink" Target="#'1.Pozitia Financiara'!A1"/><Relationship Id="rId1" Type="http://schemas.openxmlformats.org/officeDocument/2006/relationships/hyperlink" Target="#Snapshots!A1"/><Relationship Id="rId6" Type="http://schemas.openxmlformats.org/officeDocument/2006/relationships/chart" Target="../charts/chart1.xml"/><Relationship Id="rId5" Type="http://schemas.openxmlformats.org/officeDocument/2006/relationships/hyperlink" Target="#'4.Indicatori financiari'!A1"/><Relationship Id="rId4" Type="http://schemas.openxmlformats.org/officeDocument/2006/relationships/hyperlink" Target="#'3.Fluxurile de numerar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uprins!A1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uprins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hyperlink" Target="#Cuprins!A1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0</xdr:row>
      <xdr:rowOff>123825</xdr:rowOff>
    </xdr:from>
    <xdr:to>
      <xdr:col>18</xdr:col>
      <xdr:colOff>600075</xdr:colOff>
      <xdr:row>5</xdr:row>
      <xdr:rowOff>76200</xdr:rowOff>
    </xdr:to>
    <xdr:sp macro="" textlink="">
      <xdr:nvSpPr>
        <xdr:cNvPr id="9" name="Title 1">
          <a:extLst>
            <a:ext uri="{FF2B5EF4-FFF2-40B4-BE49-F238E27FC236}">
              <a16:creationId xmlns:a16="http://schemas.microsoft.com/office/drawing/2014/main" id="{30E4A61E-EE59-45FF-BA59-CE32CE3A4C7F}"/>
            </a:ext>
          </a:extLst>
        </xdr:cNvPr>
        <xdr:cNvSpPr>
          <a:spLocks noGrp="1"/>
        </xdr:cNvSpPr>
      </xdr:nvSpPr>
      <xdr:spPr>
        <a:xfrm>
          <a:off x="3911600" y="123825"/>
          <a:ext cx="6323542" cy="705908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rgbClr val="219EBC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rmAutofit/>
        </a:bodyPr>
        <a:lstStyle>
          <a:lvl1pPr algn="l" defTabSz="685800" rtl="0" eaLnBrk="1" latinLnBrk="0" hangingPunct="1">
            <a:lnSpc>
              <a:spcPct val="90000"/>
            </a:lnSpc>
            <a:spcBef>
              <a:spcPct val="0"/>
            </a:spcBef>
            <a:buNone/>
            <a:defRPr sz="3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sz="2800" b="1">
              <a:ln>
                <a:solidFill>
                  <a:schemeClr val="tx2">
                    <a:lumMod val="50000"/>
                  </a:schemeClr>
                </a:solidFill>
              </a:ln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Candara" panose="020E0502030303020204" pitchFamily="34" charset="0"/>
            </a:rPr>
            <a:t>CUPRINS</a:t>
          </a:r>
        </a:p>
      </xdr:txBody>
    </xdr:sp>
    <xdr:clientData/>
  </xdr:twoCellAnchor>
  <xdr:twoCellAnchor>
    <xdr:from>
      <xdr:col>19</xdr:col>
      <xdr:colOff>166159</xdr:colOff>
      <xdr:row>7</xdr:row>
      <xdr:rowOff>0</xdr:rowOff>
    </xdr:from>
    <xdr:to>
      <xdr:col>22</xdr:col>
      <xdr:colOff>90626</xdr:colOff>
      <xdr:row>9</xdr:row>
      <xdr:rowOff>29867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DAE45-A9A8-4312-ABDB-3A45DB62C517}"/>
            </a:ext>
          </a:extLst>
        </xdr:cNvPr>
        <xdr:cNvSpPr/>
      </xdr:nvSpPr>
      <xdr:spPr>
        <a:xfrm>
          <a:off x="11680826" y="948267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INDICATORI CHEIE</a:t>
          </a:r>
          <a:r>
            <a:rPr lang="en-GB" sz="1050" b="1" baseline="0">
              <a:solidFill>
                <a:schemeClr val="bg1"/>
              </a:solidFill>
              <a:latin typeface="Candara" panose="020E0502030303020204" pitchFamily="34" charset="0"/>
            </a:rPr>
            <a:t> </a:t>
          </a:r>
          <a:endParaRPr lang="en-GB" sz="105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19</xdr:col>
      <xdr:colOff>166159</xdr:colOff>
      <xdr:row>9</xdr:row>
      <xdr:rowOff>139701</xdr:rowOff>
    </xdr:from>
    <xdr:to>
      <xdr:col>22</xdr:col>
      <xdr:colOff>90626</xdr:colOff>
      <xdr:row>11</xdr:row>
      <xdr:rowOff>118768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8F312-05FC-45EC-919F-81B74F0BBF5B}"/>
            </a:ext>
          </a:extLst>
        </xdr:cNvPr>
        <xdr:cNvSpPr/>
      </xdr:nvSpPr>
      <xdr:spPr>
        <a:xfrm>
          <a:off x="11680826" y="1562101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POZITIA FINANCIARA</a:t>
          </a:r>
        </a:p>
      </xdr:txBody>
    </xdr:sp>
    <xdr:clientData/>
  </xdr:twoCellAnchor>
  <xdr:twoCellAnchor>
    <xdr:from>
      <xdr:col>19</xdr:col>
      <xdr:colOff>166159</xdr:colOff>
      <xdr:row>12</xdr:row>
      <xdr:rowOff>15874</xdr:rowOff>
    </xdr:from>
    <xdr:to>
      <xdr:col>22</xdr:col>
      <xdr:colOff>90626</xdr:colOff>
      <xdr:row>14</xdr:row>
      <xdr:rowOff>62674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C9ED3-5663-4DB8-B52A-6FC03136AB92}"/>
            </a:ext>
          </a:extLst>
        </xdr:cNvPr>
        <xdr:cNvSpPr/>
      </xdr:nvSpPr>
      <xdr:spPr>
        <a:xfrm>
          <a:off x="11680826" y="2191807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REZULTATUL GLOBAL</a:t>
          </a:r>
        </a:p>
      </xdr:txBody>
    </xdr:sp>
    <xdr:clientData/>
  </xdr:twoCellAnchor>
  <xdr:twoCellAnchor>
    <xdr:from>
      <xdr:col>19</xdr:col>
      <xdr:colOff>166159</xdr:colOff>
      <xdr:row>14</xdr:row>
      <xdr:rowOff>198968</xdr:rowOff>
    </xdr:from>
    <xdr:to>
      <xdr:col>22</xdr:col>
      <xdr:colOff>90626</xdr:colOff>
      <xdr:row>17</xdr:row>
      <xdr:rowOff>84901</xdr:rowOff>
    </xdr:to>
    <xdr:sp macro="" textlink="">
      <xdr:nvSpPr>
        <xdr:cNvPr id="12" name="Rectangle: Rounded Corners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AA3E13-CC9A-487B-AB12-2C4DF279077F}"/>
            </a:ext>
          </a:extLst>
        </xdr:cNvPr>
        <xdr:cNvSpPr/>
      </xdr:nvSpPr>
      <xdr:spPr>
        <a:xfrm>
          <a:off x="11680826" y="2832101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CASH FLOW</a:t>
          </a:r>
        </a:p>
      </xdr:txBody>
    </xdr:sp>
    <xdr:clientData/>
  </xdr:twoCellAnchor>
  <xdr:twoCellAnchor>
    <xdr:from>
      <xdr:col>19</xdr:col>
      <xdr:colOff>183092</xdr:colOff>
      <xdr:row>17</xdr:row>
      <xdr:rowOff>192615</xdr:rowOff>
    </xdr:from>
    <xdr:to>
      <xdr:col>22</xdr:col>
      <xdr:colOff>107559</xdr:colOff>
      <xdr:row>20</xdr:row>
      <xdr:rowOff>112415</xdr:rowOff>
    </xdr:to>
    <xdr:sp macro="" textlink="">
      <xdr:nvSpPr>
        <xdr:cNvPr id="13" name="Rectangle: Rounded Corner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BD86A7-2DB3-44FD-843E-2F3C37F5A2EE}"/>
            </a:ext>
          </a:extLst>
        </xdr:cNvPr>
        <xdr:cNvSpPr/>
      </xdr:nvSpPr>
      <xdr:spPr>
        <a:xfrm>
          <a:off x="10241492" y="3630082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INDICATORI</a:t>
          </a:r>
          <a:r>
            <a:rPr lang="en-GB" sz="1050" b="1" baseline="0">
              <a:solidFill>
                <a:schemeClr val="bg1"/>
              </a:solidFill>
              <a:latin typeface="Candara" panose="020E0502030303020204" pitchFamily="34" charset="0"/>
            </a:rPr>
            <a:t> FINANCIARI</a:t>
          </a:r>
          <a:endParaRPr lang="en-GB" sz="105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5</xdr:col>
      <xdr:colOff>389468</xdr:colOff>
      <xdr:row>9</xdr:row>
      <xdr:rowOff>120648</xdr:rowOff>
    </xdr:from>
    <xdr:to>
      <xdr:col>18</xdr:col>
      <xdr:colOff>618067</xdr:colOff>
      <xdr:row>19</xdr:row>
      <xdr:rowOff>118534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B538D89-7D1F-4FC4-BC66-E2A7A244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200026</xdr:colOff>
      <xdr:row>21</xdr:row>
      <xdr:rowOff>27518</xdr:rowOff>
    </xdr:from>
    <xdr:to>
      <xdr:col>22</xdr:col>
      <xdr:colOff>124493</xdr:colOff>
      <xdr:row>24</xdr:row>
      <xdr:rowOff>23518</xdr:rowOff>
    </xdr:to>
    <xdr:sp macro="" textlink="">
      <xdr:nvSpPr>
        <xdr:cNvPr id="14" name="Rectangle: Rounded Corner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237CBE-DE8F-4D0E-8544-86F0D27F8950}"/>
            </a:ext>
          </a:extLst>
        </xdr:cNvPr>
        <xdr:cNvSpPr/>
      </xdr:nvSpPr>
      <xdr:spPr>
        <a:xfrm>
          <a:off x="10258426" y="4243918"/>
          <a:ext cx="144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chemeClr val="bg1"/>
              </a:solidFill>
              <a:latin typeface="Candara" panose="020E0502030303020204" pitchFamily="34" charset="0"/>
            </a:rPr>
            <a:t>GRAFICE INTERACTIVE</a:t>
          </a:r>
        </a:p>
      </xdr:txBody>
    </xdr:sp>
    <xdr:clientData/>
  </xdr:twoCellAnchor>
  <xdr:twoCellAnchor editAs="oneCell">
    <xdr:from>
      <xdr:col>15</xdr:col>
      <xdr:colOff>152399</xdr:colOff>
      <xdr:row>1</xdr:row>
      <xdr:rowOff>140759</xdr:rowOff>
    </xdr:from>
    <xdr:to>
      <xdr:col>18</xdr:col>
      <xdr:colOff>505882</xdr:colOff>
      <xdr:row>4</xdr:row>
      <xdr:rowOff>91229</xdr:rowOff>
    </xdr:to>
    <xdr:pic>
      <xdr:nvPicPr>
        <xdr:cNvPr id="16" name="Imagine 1" descr="O imagine care conține text&#10;&#10;Descriere generată automat">
          <a:extLst>
            <a:ext uri="{FF2B5EF4-FFF2-40B4-BE49-F238E27FC236}">
              <a16:creationId xmlns:a16="http://schemas.microsoft.com/office/drawing/2014/main" id="{0D85A7C4-27E3-4E69-96DE-D4CFDE3564E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4066" y="335492"/>
          <a:ext cx="2139950" cy="5092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0</xdr:row>
      <xdr:rowOff>177800</xdr:rowOff>
    </xdr:from>
    <xdr:to>
      <xdr:col>9</xdr:col>
      <xdr:colOff>36619</xdr:colOff>
      <xdr:row>2</xdr:row>
      <xdr:rowOff>142664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AB5533-4E96-496E-AA68-7CF4909ACDFF}"/>
            </a:ext>
          </a:extLst>
        </xdr:cNvPr>
        <xdr:cNvSpPr/>
      </xdr:nvSpPr>
      <xdr:spPr>
        <a:xfrm>
          <a:off x="8712200" y="177800"/>
          <a:ext cx="862119" cy="428414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370416</xdr:colOff>
      <xdr:row>62</xdr:row>
      <xdr:rowOff>42333</xdr:rowOff>
    </xdr:from>
    <xdr:to>
      <xdr:col>21</xdr:col>
      <xdr:colOff>296333</xdr:colOff>
      <xdr:row>62</xdr:row>
      <xdr:rowOff>52917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239BE6F-8E7A-4F91-87AC-0B547C12A03D}"/>
            </a:ext>
          </a:extLst>
        </xdr:cNvPr>
        <xdr:cNvCxnSpPr/>
      </xdr:nvCxnSpPr>
      <xdr:spPr>
        <a:xfrm>
          <a:off x="18362083" y="11853333"/>
          <a:ext cx="1164167" cy="10584"/>
        </a:xfrm>
        <a:prstGeom prst="line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496144</xdr:colOff>
      <xdr:row>65</xdr:row>
      <xdr:rowOff>1</xdr:rowOff>
    </xdr:from>
    <xdr:to>
      <xdr:col>17</xdr:col>
      <xdr:colOff>59267</xdr:colOff>
      <xdr:row>83</xdr:row>
      <xdr:rowOff>177801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1873D023-A28D-4A79-8330-7AB1CC673855}"/>
            </a:ext>
          </a:extLst>
        </xdr:cNvPr>
        <xdr:cNvGrpSpPr/>
      </xdr:nvGrpSpPr>
      <xdr:grpSpPr>
        <a:xfrm>
          <a:off x="10349227" y="12382501"/>
          <a:ext cx="5754373" cy="3606800"/>
          <a:chOff x="9457265" y="14964833"/>
          <a:chExt cx="5139267" cy="2743200"/>
        </a:xfrm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E149E3E4-A863-4064-939A-BF1177E0B1F7}"/>
              </a:ext>
            </a:extLst>
          </xdr:cNvPr>
          <xdr:cNvGraphicFramePr/>
        </xdr:nvGraphicFramePr>
        <xdr:xfrm>
          <a:off x="9457265" y="14964833"/>
          <a:ext cx="5139267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DCC5CB03-A338-4AFF-AA40-295CDBE524E9}"/>
              </a:ext>
            </a:extLst>
          </xdr:cNvPr>
          <xdr:cNvGrpSpPr/>
        </xdr:nvGrpSpPr>
        <xdr:grpSpPr>
          <a:xfrm>
            <a:off x="9830014" y="15277704"/>
            <a:ext cx="4557686" cy="279187"/>
            <a:chOff x="3911814" y="16539237"/>
            <a:chExt cx="4557686" cy="279187"/>
          </a:xfrm>
        </xdr:grpSpPr>
        <xdr:cxnSp macro="">
          <xdr:nvCxnSpPr>
            <xdr:cNvPr id="10" name="Straight Arrow Connector 9">
              <a:extLst>
                <a:ext uri="{FF2B5EF4-FFF2-40B4-BE49-F238E27FC236}">
                  <a16:creationId xmlns:a16="http://schemas.microsoft.com/office/drawing/2014/main" id="{E966AEA3-533B-47AF-84D4-9EE0C5E33E2E}"/>
                </a:ext>
              </a:extLst>
            </xdr:cNvPr>
            <xdr:cNvCxnSpPr/>
          </xdr:nvCxnSpPr>
          <xdr:spPr>
            <a:xfrm flipH="1" flipV="1">
              <a:off x="3911814" y="16671506"/>
              <a:ext cx="1794701" cy="0"/>
            </a:xfrm>
            <a:prstGeom prst="straightConnector1">
              <a:avLst/>
            </a:prstGeom>
            <a:ln>
              <a:solidFill>
                <a:schemeClr val="accent6">
                  <a:lumMod val="40000"/>
                  <a:lumOff val="60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Straight Arrow Connector 10">
              <a:extLst>
                <a:ext uri="{FF2B5EF4-FFF2-40B4-BE49-F238E27FC236}">
                  <a16:creationId xmlns:a16="http://schemas.microsoft.com/office/drawing/2014/main" id="{FF733847-94B3-4EA3-8FAC-C05877F0DE17}"/>
                </a:ext>
              </a:extLst>
            </xdr:cNvPr>
            <xdr:cNvCxnSpPr/>
          </xdr:nvCxnSpPr>
          <xdr:spPr>
            <a:xfrm flipV="1">
              <a:off x="6343934" y="16668543"/>
              <a:ext cx="2125566" cy="0"/>
            </a:xfrm>
            <a:prstGeom prst="straightConnector1">
              <a:avLst/>
            </a:prstGeom>
            <a:ln>
              <a:solidFill>
                <a:schemeClr val="accent6">
                  <a:lumMod val="40000"/>
                  <a:lumOff val="60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$H$77">
          <xdr:nvSpPr>
            <xdr:cNvPr id="12" name="Flowchart: Connector 11">
              <a:extLst>
                <a:ext uri="{FF2B5EF4-FFF2-40B4-BE49-F238E27FC236}">
                  <a16:creationId xmlns:a16="http://schemas.microsoft.com/office/drawing/2014/main" id="{09D21255-2334-4D9C-B7DE-CA727AC6E1A3}"/>
                </a:ext>
              </a:extLst>
            </xdr:cNvPr>
            <xdr:cNvSpPr/>
          </xdr:nvSpPr>
          <xdr:spPr>
            <a:xfrm>
              <a:off x="5719772" y="16539237"/>
              <a:ext cx="613294" cy="279187"/>
            </a:xfrm>
            <a:prstGeom prst="flowChartConnector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6">
                  <a:lumMod val="40000"/>
                  <a:lumOff val="6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D2359867-40DF-4383-8429-AEDCB945CB70}" type="TxLink">
                <a:rPr lang="en-US" sz="10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-15%</a:t>
              </a:fld>
              <a:endParaRPr lang="ro-RO" sz="1000">
                <a:solidFill>
                  <a:sysClr val="windowText" lastClr="000000"/>
                </a:solidFill>
                <a:latin typeface="Candara" panose="020E0502030303020204" pitchFamily="34" charset="0"/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414867</xdr:colOff>
      <xdr:row>1</xdr:row>
      <xdr:rowOff>110067</xdr:rowOff>
    </xdr:from>
    <xdr:to>
      <xdr:col>20</xdr:col>
      <xdr:colOff>1</xdr:colOff>
      <xdr:row>19</xdr:row>
      <xdr:rowOff>110066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5F0E71-C082-404C-B43E-8B38E78FA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406398</xdr:colOff>
      <xdr:row>20</xdr:row>
      <xdr:rowOff>67735</xdr:rowOff>
    </xdr:from>
    <xdr:to>
      <xdr:col>20</xdr:col>
      <xdr:colOff>78738</xdr:colOff>
      <xdr:row>34</xdr:row>
      <xdr:rowOff>166372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8DB26FB-5783-47A5-949E-29D449FBCA9B}"/>
            </a:ext>
          </a:extLst>
        </xdr:cNvPr>
        <xdr:cNvGrpSpPr/>
      </xdr:nvGrpSpPr>
      <xdr:grpSpPr>
        <a:xfrm>
          <a:off x="11815231" y="4068235"/>
          <a:ext cx="5006340" cy="2765637"/>
          <a:chOff x="7984067" y="2837603"/>
          <a:chExt cx="5158740" cy="2791037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51EC31CD-604C-4265-90E6-7785568E4DAF}"/>
              </a:ext>
            </a:extLst>
          </xdr:cNvPr>
          <xdr:cNvGraphicFramePr/>
        </xdr:nvGraphicFramePr>
        <xdr:xfrm>
          <a:off x="7984067" y="2837603"/>
          <a:ext cx="5158740" cy="27910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6A7D9A95-1F29-4EC8-B194-E75F4C483F75}"/>
              </a:ext>
            </a:extLst>
          </xdr:cNvPr>
          <xdr:cNvCxnSpPr/>
        </xdr:nvCxnSpPr>
        <xdr:spPr>
          <a:xfrm>
            <a:off x="8390467" y="3276600"/>
            <a:ext cx="4343400" cy="0"/>
          </a:xfrm>
          <a:prstGeom prst="straightConnector1">
            <a:avLst/>
          </a:prstGeom>
          <a:ln>
            <a:solidFill>
              <a:schemeClr val="bg2">
                <a:lumMod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N$23">
        <xdr:nvSpPr>
          <xdr:cNvPr id="9" name="Oval 8">
            <a:extLst>
              <a:ext uri="{FF2B5EF4-FFF2-40B4-BE49-F238E27FC236}">
                <a16:creationId xmlns:a16="http://schemas.microsoft.com/office/drawing/2014/main" id="{96E3A7DC-D308-4366-94C3-7257B2597393}"/>
              </a:ext>
            </a:extLst>
          </xdr:cNvPr>
          <xdr:cNvSpPr/>
        </xdr:nvSpPr>
        <xdr:spPr>
          <a:xfrm>
            <a:off x="10232814" y="3087793"/>
            <a:ext cx="609600" cy="407247"/>
          </a:xfrm>
          <a:prstGeom prst="ellipse">
            <a:avLst/>
          </a:prstGeom>
          <a:solidFill>
            <a:srgbClr val="219EBC"/>
          </a:solidFill>
          <a:ln>
            <a:solidFill>
              <a:schemeClr val="bg2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FC32841A-646B-4AB8-BFB0-06BD51F4B28B}" type="TxLink">
              <a:rPr lang="en-US" sz="1100" b="0" i="0" u="none" strike="noStrike">
                <a:solidFill>
                  <a:srgbClr val="000000"/>
                </a:solidFill>
                <a:latin typeface="Candara"/>
              </a:rPr>
              <a:pPr algn="ctr"/>
              <a:t>6%</a:t>
            </a:fld>
            <a:endParaRPr lang="ro-RO" sz="1000">
              <a:latin typeface="Candara" panose="020E0502030303020204" pitchFamily="34" charset="0"/>
            </a:endParaRPr>
          </a:p>
        </xdr:txBody>
      </xdr:sp>
    </xdr:grpSp>
    <xdr:clientData/>
  </xdr:twoCellAnchor>
  <xdr:twoCellAnchor>
    <xdr:from>
      <xdr:col>9</xdr:col>
      <xdr:colOff>457200</xdr:colOff>
      <xdr:row>0</xdr:row>
      <xdr:rowOff>93133</xdr:rowOff>
    </xdr:from>
    <xdr:to>
      <xdr:col>10</xdr:col>
      <xdr:colOff>462493</xdr:colOff>
      <xdr:row>2</xdr:row>
      <xdr:rowOff>133350</xdr:rowOff>
    </xdr:to>
    <xdr:sp macro="" textlink="">
      <xdr:nvSpPr>
        <xdr:cNvPr id="10" name="Rectangle: Rounded Corner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90B3AD-0698-4298-A0BE-6601713A2D96}"/>
            </a:ext>
          </a:extLst>
        </xdr:cNvPr>
        <xdr:cNvSpPr/>
      </xdr:nvSpPr>
      <xdr:spPr>
        <a:xfrm>
          <a:off x="8568267" y="93133"/>
          <a:ext cx="851959" cy="429684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851959</xdr:colOff>
      <xdr:row>2</xdr:row>
      <xdr:rowOff>429684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DD5B3-6749-45A5-B320-818650041B24}"/>
            </a:ext>
          </a:extLst>
        </xdr:cNvPr>
        <xdr:cNvSpPr/>
      </xdr:nvSpPr>
      <xdr:spPr>
        <a:xfrm>
          <a:off x="11811000" y="391583"/>
          <a:ext cx="851959" cy="429684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35</xdr:row>
      <xdr:rowOff>0</xdr:rowOff>
    </xdr:from>
    <xdr:to>
      <xdr:col>27</xdr:col>
      <xdr:colOff>537411</xdr:colOff>
      <xdr:row>47</xdr:row>
      <xdr:rowOff>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422CCFE-6123-41B0-B856-5F74939CE393}"/>
            </a:ext>
          </a:extLst>
        </xdr:cNvPr>
        <xdr:cNvGrpSpPr/>
      </xdr:nvGrpSpPr>
      <xdr:grpSpPr>
        <a:xfrm>
          <a:off x="16513342" y="6787816"/>
          <a:ext cx="5179595" cy="2556710"/>
          <a:chOff x="9457265" y="14964833"/>
          <a:chExt cx="5139267" cy="2743200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C3617E8-7774-48D5-BE4E-55ED99770BFD}"/>
              </a:ext>
            </a:extLst>
          </xdr:cNvPr>
          <xdr:cNvGraphicFramePr/>
        </xdr:nvGraphicFramePr>
        <xdr:xfrm>
          <a:off x="9457265" y="14964833"/>
          <a:ext cx="5139267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86805EF2-D46F-48BE-A57B-FD35325C6F77}"/>
              </a:ext>
            </a:extLst>
          </xdr:cNvPr>
          <xdr:cNvGrpSpPr/>
        </xdr:nvGrpSpPr>
        <xdr:grpSpPr>
          <a:xfrm>
            <a:off x="9830014" y="15277704"/>
            <a:ext cx="4557686" cy="279187"/>
            <a:chOff x="3911814" y="16539237"/>
            <a:chExt cx="4557686" cy="279187"/>
          </a:xfrm>
        </xdr:grpSpPr>
        <xdr:cxnSp macro="">
          <xdr:nvCxnSpPr>
            <xdr:cNvPr id="7" name="Straight Arrow Connector 6">
              <a:extLst>
                <a:ext uri="{FF2B5EF4-FFF2-40B4-BE49-F238E27FC236}">
                  <a16:creationId xmlns:a16="http://schemas.microsoft.com/office/drawing/2014/main" id="{CF0F07F7-1FF7-455C-92F1-A925D0EA71FD}"/>
                </a:ext>
              </a:extLst>
            </xdr:cNvPr>
            <xdr:cNvCxnSpPr/>
          </xdr:nvCxnSpPr>
          <xdr:spPr>
            <a:xfrm flipH="1" flipV="1">
              <a:off x="3911814" y="16671506"/>
              <a:ext cx="1794701" cy="0"/>
            </a:xfrm>
            <a:prstGeom prst="straightConnector1">
              <a:avLst/>
            </a:prstGeom>
            <a:ln>
              <a:solidFill>
                <a:schemeClr val="bg2">
                  <a:lumMod val="50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Straight Arrow Connector 7">
              <a:extLst>
                <a:ext uri="{FF2B5EF4-FFF2-40B4-BE49-F238E27FC236}">
                  <a16:creationId xmlns:a16="http://schemas.microsoft.com/office/drawing/2014/main" id="{F276B0A5-8DDB-4AEB-AB17-AACA33A1184E}"/>
                </a:ext>
              </a:extLst>
            </xdr:cNvPr>
            <xdr:cNvCxnSpPr/>
          </xdr:nvCxnSpPr>
          <xdr:spPr>
            <a:xfrm flipV="1">
              <a:off x="6343934" y="16668543"/>
              <a:ext cx="2125566" cy="0"/>
            </a:xfrm>
            <a:prstGeom prst="straightConnector1">
              <a:avLst/>
            </a:prstGeom>
            <a:ln>
              <a:solidFill>
                <a:schemeClr val="bg2">
                  <a:lumMod val="50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HiddenPage!$H$77">
          <xdr:nvSpPr>
            <xdr:cNvPr id="9" name="Flowchart: Connector 8">
              <a:extLst>
                <a:ext uri="{FF2B5EF4-FFF2-40B4-BE49-F238E27FC236}">
                  <a16:creationId xmlns:a16="http://schemas.microsoft.com/office/drawing/2014/main" id="{6C2CC696-F5CF-4495-B8C0-FCCEA2928125}"/>
                </a:ext>
              </a:extLst>
            </xdr:cNvPr>
            <xdr:cNvSpPr/>
          </xdr:nvSpPr>
          <xdr:spPr>
            <a:xfrm>
              <a:off x="5719772" y="16539237"/>
              <a:ext cx="613294" cy="279187"/>
            </a:xfrm>
            <a:prstGeom prst="flowChartConnector">
              <a:avLst/>
            </a:prstGeom>
            <a:solidFill>
              <a:schemeClr val="bg2">
                <a:lumMod val="9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fld id="{76235D2B-C46B-4341-A71D-24148DE9E48F}" type="TxLink">
                <a:rPr lang="en-US" sz="900" b="0" i="0" u="none" strike="noStrike">
                  <a:solidFill>
                    <a:srgbClr val="000000"/>
                  </a:solidFill>
                  <a:latin typeface="Candara"/>
                </a:rPr>
                <a:pPr algn="ctr"/>
                <a:t>-15%</a:t>
              </a:fld>
              <a:endParaRPr lang="ro-RO" sz="900">
                <a:solidFill>
                  <a:sysClr val="windowText" lastClr="000000"/>
                </a:solidFill>
                <a:latin typeface="Candara" panose="020E0502030303020204" pitchFamily="34" charset="0"/>
              </a:endParaRPr>
            </a:p>
          </xdr:txBody>
        </xdr:sp>
      </xdr:grpSp>
    </xdr:grpSp>
    <xdr:clientData/>
  </xdr:twoCellAnchor>
  <xdr:twoCellAnchor>
    <xdr:from>
      <xdr:col>12</xdr:col>
      <xdr:colOff>0</xdr:colOff>
      <xdr:row>2</xdr:row>
      <xdr:rowOff>0</xdr:rowOff>
    </xdr:from>
    <xdr:to>
      <xdr:col>13</xdr:col>
      <xdr:colOff>298506</xdr:colOff>
      <xdr:row>3</xdr:row>
      <xdr:rowOff>108841</xdr:rowOff>
    </xdr:to>
    <xdr:sp macro="" textlink="">
      <xdr:nvSpPr>
        <xdr:cNvPr id="10" name="Rectangle: Rounded Corner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BA1739-9892-47CF-B2AF-6C2B323AC3FF}"/>
            </a:ext>
          </a:extLst>
        </xdr:cNvPr>
        <xdr:cNvSpPr/>
      </xdr:nvSpPr>
      <xdr:spPr>
        <a:xfrm>
          <a:off x="12400547" y="368968"/>
          <a:ext cx="851959" cy="429684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11</xdr:col>
      <xdr:colOff>204927</xdr:colOff>
      <xdr:row>3</xdr:row>
      <xdr:rowOff>27516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34C67-E196-4277-AF4D-98EBB96AE7A8}"/>
            </a:ext>
          </a:extLst>
        </xdr:cNvPr>
        <xdr:cNvSpPr/>
      </xdr:nvSpPr>
      <xdr:spPr>
        <a:xfrm>
          <a:off x="10022417" y="201083"/>
          <a:ext cx="839927" cy="429683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269521</xdr:colOff>
      <xdr:row>1</xdr:row>
      <xdr:rowOff>23989</xdr:rowOff>
    </xdr:from>
    <xdr:to>
      <xdr:col>10</xdr:col>
      <xdr:colOff>515054</xdr:colOff>
      <xdr:row>2</xdr:row>
      <xdr:rowOff>258940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C7A4C-452E-47F4-BC2F-13217F22FB3F}"/>
            </a:ext>
          </a:extLst>
        </xdr:cNvPr>
        <xdr:cNvSpPr/>
      </xdr:nvSpPr>
      <xdr:spPr>
        <a:xfrm>
          <a:off x="12623799" y="207433"/>
          <a:ext cx="880533" cy="425451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bg1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4</xdr:row>
      <xdr:rowOff>71438</xdr:rowOff>
    </xdr:from>
    <xdr:to>
      <xdr:col>7</xdr:col>
      <xdr:colOff>392906</xdr:colOff>
      <xdr:row>16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8FBFA-3C40-4BCF-A853-015D6F756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573089</xdr:colOff>
      <xdr:row>4</xdr:row>
      <xdr:rowOff>59532</xdr:rowOff>
    </xdr:from>
    <xdr:to>
      <xdr:col>16</xdr:col>
      <xdr:colOff>168275</xdr:colOff>
      <xdr:row>17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16D11D-85A4-457E-9BDB-C75A67B1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144197</xdr:colOff>
      <xdr:row>4</xdr:row>
      <xdr:rowOff>56092</xdr:rowOff>
    </xdr:from>
    <xdr:to>
      <xdr:col>23</xdr:col>
      <xdr:colOff>537103</xdr:colOff>
      <xdr:row>17</xdr:row>
      <xdr:rowOff>32279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4D9CFA-FC60-46B9-B8B1-3D8486B2D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238125</xdr:colOff>
      <xdr:row>21</xdr:row>
      <xdr:rowOff>100012</xdr:rowOff>
    </xdr:from>
    <xdr:to>
      <xdr:col>23</xdr:col>
      <xdr:colOff>535781</xdr:colOff>
      <xdr:row>36</xdr:row>
      <xdr:rowOff>23811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491E4C6F-77EE-4D97-933A-5A2B4C99B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17196</xdr:colOff>
      <xdr:row>21</xdr:row>
      <xdr:rowOff>82285</xdr:rowOff>
    </xdr:from>
    <xdr:to>
      <xdr:col>12</xdr:col>
      <xdr:colOff>47625</xdr:colOff>
      <xdr:row>36</xdr:row>
      <xdr:rowOff>35718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54A4697-6F5D-412D-9774-C6EDE4A2E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5</xdr:row>
      <xdr:rowOff>0</xdr:rowOff>
    </xdr:from>
    <xdr:to>
      <xdr:col>25</xdr:col>
      <xdr:colOff>225426</xdr:colOff>
      <xdr:row>7</xdr:row>
      <xdr:rowOff>57151</xdr:rowOff>
    </xdr:to>
    <xdr:sp macro="" textlink="">
      <xdr:nvSpPr>
        <xdr:cNvPr id="9" name="Rectangle: Rounded Corner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FE870C-AC17-44D9-9968-5F0F249DA215}"/>
            </a:ext>
          </a:extLst>
        </xdr:cNvPr>
        <xdr:cNvSpPr/>
      </xdr:nvSpPr>
      <xdr:spPr>
        <a:xfrm>
          <a:off x="14351000" y="618067"/>
          <a:ext cx="851959" cy="429684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0.27216</cdr:x>
      <cdr:y>0.87382</cdr:y>
    </cdr:from>
    <cdr:to>
      <cdr:x>0.57436</cdr:x>
      <cdr:y>0.95925</cdr:y>
    </cdr:to>
    <cdr:sp macro="" textlink="HiddenPage!$N$23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C0CB28-5F10-4252-A7F6-1687625EA44A}"/>
            </a:ext>
          </a:extLst>
        </cdr:cNvPr>
        <cdr:cNvSpPr/>
      </cdr:nvSpPr>
      <cdr:spPr>
        <a:xfrm xmlns:a="http://schemas.openxmlformats.org/drawingml/2006/main">
          <a:off x="1842364" y="2354526"/>
          <a:ext cx="2045689" cy="230188"/>
        </a:xfrm>
        <a:prstGeom xmlns:a="http://schemas.openxmlformats.org/drawingml/2006/main" prst="rect">
          <a:avLst/>
        </a:prstGeom>
        <a:solidFill xmlns:a="http://schemas.openxmlformats.org/drawingml/2006/main">
          <a:srgbClr val="219EBC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68FD3661-723C-40C2-8617-39B7D221BC79}" type="TxLink">
            <a:rPr lang="en-US" sz="1000" b="0" i="0" u="none" strike="noStrike">
              <a:solidFill>
                <a:schemeClr val="bg1"/>
              </a:solidFill>
              <a:latin typeface="Candara"/>
            </a:rPr>
            <a:pPr/>
            <a:t>Total  : 81,728,944 lei</a:t>
          </a:fld>
          <a:endParaRPr lang="en-US" sz="1000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mcarbon.com/RO" TargetMode="External"/><Relationship Id="rId2" Type="http://schemas.openxmlformats.org/officeDocument/2006/relationships/hyperlink" Target="mailto:investor.relations@romcarbon.com" TargetMode="External"/><Relationship Id="rId1" Type="http://schemas.openxmlformats.org/officeDocument/2006/relationships/hyperlink" Target="http://www.romcarbon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9EBC"/>
  </sheetPr>
  <dimension ref="A1:AF32"/>
  <sheetViews>
    <sheetView showGridLines="0" tabSelected="1" zoomScale="90" zoomScaleNormal="90" workbookViewId="0">
      <selection activeCell="V36" sqref="V36"/>
    </sheetView>
  </sheetViews>
  <sheetFormatPr defaultColWidth="9.140625" defaultRowHeight="15" x14ac:dyDescent="0.25"/>
  <cols>
    <col min="1" max="1" width="1.5703125" style="83" customWidth="1"/>
    <col min="2" max="2" width="9.140625" style="83"/>
    <col min="3" max="3" width="3.140625" style="83" customWidth="1"/>
    <col min="4" max="5" width="2.85546875" style="83" customWidth="1"/>
    <col min="6" max="6" width="5.85546875" style="83" customWidth="1"/>
    <col min="7" max="7" width="11.42578125" style="83" customWidth="1"/>
    <col min="8" max="17" width="9.140625" style="83"/>
    <col min="18" max="18" width="7.85546875" style="83" customWidth="1"/>
    <col min="19" max="19" width="9.140625" style="83" customWidth="1"/>
    <col min="20" max="20" width="8.140625" style="83" customWidth="1"/>
    <col min="21" max="21" width="6.85546875" style="83" customWidth="1"/>
    <col min="22" max="22" width="7" style="83" customWidth="1"/>
    <col min="23" max="16384" width="9.140625" style="83"/>
  </cols>
  <sheetData>
    <row r="1" spans="1:32" ht="15" customHeight="1" x14ac:dyDescent="0.25">
      <c r="A1" s="82"/>
      <c r="B1" s="82"/>
      <c r="C1" s="82"/>
      <c r="D1" s="82"/>
      <c r="E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32" x14ac:dyDescent="0.25">
      <c r="B2" s="82"/>
      <c r="C2" s="82"/>
      <c r="D2" s="82"/>
      <c r="E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32" x14ac:dyDescent="0.25">
      <c r="B3" s="82"/>
      <c r="C3" s="82"/>
      <c r="D3" s="82"/>
      <c r="E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32" x14ac:dyDescent="0.25">
      <c r="A4" s="82"/>
      <c r="B4" s="82"/>
      <c r="C4" s="82"/>
      <c r="D4" s="82"/>
      <c r="E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32" x14ac:dyDescent="0.25">
      <c r="A5" s="82"/>
      <c r="B5" s="82"/>
      <c r="C5" s="82"/>
      <c r="D5" s="82"/>
      <c r="E5" s="82"/>
      <c r="G5" s="82"/>
      <c r="H5" s="82"/>
      <c r="I5" s="82"/>
      <c r="J5" s="82"/>
      <c r="K5" s="82"/>
      <c r="L5" s="82"/>
      <c r="M5" s="82"/>
      <c r="N5" s="82"/>
      <c r="O5" s="82"/>
      <c r="P5" s="82"/>
      <c r="W5" s="84"/>
      <c r="X5" s="84"/>
      <c r="Y5" s="84"/>
      <c r="Z5" s="84"/>
      <c r="AA5" s="84"/>
      <c r="AB5" s="84"/>
      <c r="AC5" s="84"/>
      <c r="AD5" s="84"/>
      <c r="AE5" s="84"/>
      <c r="AF5" s="84"/>
    </row>
    <row r="6" spans="1:32" ht="9.75" customHeight="1" x14ac:dyDescent="0.25">
      <c r="A6" s="82"/>
      <c r="B6" s="82"/>
      <c r="C6" s="82"/>
      <c r="D6" s="82"/>
      <c r="E6" s="85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32" ht="6" customHeight="1" x14ac:dyDescent="0.25">
      <c r="A7" s="82"/>
      <c r="B7" s="82"/>
      <c r="C7" s="82"/>
      <c r="D7" s="82"/>
      <c r="E7" s="85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32" ht="16.5" customHeight="1" x14ac:dyDescent="0.25">
      <c r="A8" s="86"/>
      <c r="G8" s="233" t="s">
        <v>173</v>
      </c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</row>
    <row r="9" spans="1:32" ht="21" customHeight="1" x14ac:dyDescent="0.25"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</row>
    <row r="10" spans="1:32" ht="23.45" customHeight="1" x14ac:dyDescent="0.35"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</row>
    <row r="11" spans="1:32" ht="18.75" x14ac:dyDescent="0.3">
      <c r="H11" s="87"/>
      <c r="I11" s="87"/>
      <c r="J11" s="87"/>
      <c r="K11" s="87"/>
      <c r="L11" s="87"/>
      <c r="M11" s="87"/>
      <c r="N11" s="87"/>
      <c r="O11" s="88"/>
      <c r="P11" s="87"/>
      <c r="Q11" s="87"/>
      <c r="R11" s="88"/>
      <c r="S11" s="89"/>
    </row>
    <row r="12" spans="1:32" ht="18.75" x14ac:dyDescent="0.3">
      <c r="H12" s="87"/>
      <c r="I12" s="87"/>
      <c r="J12" s="87"/>
      <c r="K12" s="87"/>
      <c r="L12" s="87"/>
      <c r="M12" s="87"/>
      <c r="N12" s="87"/>
      <c r="O12" s="87"/>
      <c r="R12" s="90"/>
      <c r="S12" s="90"/>
    </row>
    <row r="13" spans="1:32" ht="18.75" x14ac:dyDescent="0.3">
      <c r="H13" s="87"/>
      <c r="I13" s="87"/>
      <c r="J13" s="87"/>
      <c r="K13" s="87"/>
      <c r="L13" s="87"/>
      <c r="M13" s="87"/>
      <c r="N13" s="87"/>
      <c r="O13" s="87"/>
      <c r="R13" s="87"/>
      <c r="S13" s="89"/>
    </row>
    <row r="14" spans="1:32" ht="18.75" x14ac:dyDescent="0.3">
      <c r="H14" s="87"/>
      <c r="I14" s="87"/>
      <c r="J14" s="87"/>
      <c r="K14" s="87"/>
      <c r="L14" s="87"/>
      <c r="M14" s="87"/>
      <c r="N14" s="87"/>
      <c r="O14" s="87"/>
      <c r="R14" s="87"/>
      <c r="S14" s="89"/>
    </row>
    <row r="15" spans="1:32" ht="18.75" x14ac:dyDescent="0.3">
      <c r="H15" s="87"/>
      <c r="I15" s="87"/>
      <c r="J15" s="87"/>
      <c r="K15" s="87"/>
      <c r="L15" s="87"/>
      <c r="M15" s="87"/>
      <c r="N15" s="87"/>
      <c r="O15" s="87"/>
      <c r="R15" s="87"/>
      <c r="S15" s="89"/>
    </row>
    <row r="16" spans="1:32" ht="15" customHeight="1" x14ac:dyDescent="0.3">
      <c r="H16" s="87"/>
      <c r="I16" s="87"/>
      <c r="J16" s="87"/>
      <c r="K16" s="87"/>
      <c r="L16" s="87"/>
      <c r="M16" s="87"/>
      <c r="N16" s="87"/>
      <c r="O16" s="87"/>
      <c r="R16" s="87"/>
      <c r="S16" s="89"/>
    </row>
    <row r="17" spans="7:19" ht="15" customHeight="1" x14ac:dyDescent="0.3">
      <c r="H17" s="87"/>
      <c r="I17" s="87"/>
      <c r="J17" s="87"/>
      <c r="K17" s="87"/>
      <c r="L17" s="87"/>
      <c r="M17" s="87"/>
      <c r="N17" s="87"/>
      <c r="O17" s="87"/>
      <c r="R17" s="87"/>
      <c r="S17" s="89"/>
    </row>
    <row r="18" spans="7:19" ht="15" customHeight="1" x14ac:dyDescent="0.3"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8"/>
      <c r="S18" s="89"/>
    </row>
    <row r="19" spans="7:19" ht="15" customHeight="1" x14ac:dyDescent="0.25"/>
    <row r="20" spans="7:19" ht="15" customHeight="1" x14ac:dyDescent="0.25"/>
    <row r="21" spans="7:19" ht="15" customHeight="1" x14ac:dyDescent="0.25">
      <c r="G21" s="239" t="s">
        <v>164</v>
      </c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</row>
    <row r="22" spans="7:19" ht="15" customHeight="1" x14ac:dyDescent="0.25">
      <c r="G22" s="236" t="s">
        <v>100</v>
      </c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</row>
    <row r="23" spans="7:19" ht="15" customHeight="1" x14ac:dyDescent="0.25">
      <c r="G23" s="240" t="s">
        <v>84</v>
      </c>
      <c r="H23" s="240"/>
      <c r="I23" s="240"/>
      <c r="J23" s="240"/>
      <c r="K23" s="240"/>
      <c r="L23" s="240"/>
      <c r="M23" s="240"/>
      <c r="N23" s="240"/>
      <c r="O23" s="240"/>
      <c r="P23" s="240"/>
      <c r="Q23" s="91"/>
      <c r="R23" s="91"/>
      <c r="S23" s="91"/>
    </row>
    <row r="24" spans="7:19" ht="9" customHeight="1" x14ac:dyDescent="0.25"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spans="7:19" x14ac:dyDescent="0.25">
      <c r="G25" s="237"/>
      <c r="H25" s="237"/>
      <c r="I25" s="237"/>
      <c r="J25" s="237"/>
      <c r="K25" s="237"/>
      <c r="L25" s="237"/>
      <c r="M25" s="237"/>
      <c r="N25" s="93"/>
      <c r="O25" s="93"/>
      <c r="P25" s="236" t="s">
        <v>85</v>
      </c>
      <c r="Q25" s="236"/>
      <c r="R25" s="236"/>
      <c r="S25" s="236"/>
    </row>
    <row r="26" spans="7:19" x14ac:dyDescent="0.25">
      <c r="G26" s="237"/>
      <c r="H26" s="237"/>
      <c r="I26" s="237"/>
      <c r="J26" s="237"/>
      <c r="K26" s="237"/>
      <c r="L26" s="237"/>
      <c r="M26" s="237"/>
      <c r="N26" s="94"/>
      <c r="O26" s="94"/>
      <c r="P26" s="236" t="s">
        <v>86</v>
      </c>
      <c r="Q26" s="236"/>
      <c r="R26" s="236"/>
      <c r="S26" s="236"/>
    </row>
    <row r="27" spans="7:19" x14ac:dyDescent="0.25">
      <c r="G27" s="95"/>
      <c r="H27" s="95"/>
      <c r="I27" s="95"/>
      <c r="J27" s="95"/>
      <c r="K27" s="95"/>
      <c r="L27" s="95"/>
      <c r="M27" s="95"/>
      <c r="N27" s="92"/>
      <c r="O27" s="92"/>
      <c r="P27" s="96" t="s">
        <v>87</v>
      </c>
      <c r="Q27" s="96"/>
      <c r="R27" s="96"/>
      <c r="S27" s="96"/>
    </row>
    <row r="28" spans="7:19" x14ac:dyDescent="0.25">
      <c r="G28" s="95"/>
      <c r="H28" s="95"/>
      <c r="I28" s="95"/>
      <c r="J28" s="95"/>
      <c r="K28" s="95"/>
      <c r="L28" s="95"/>
      <c r="M28" s="95"/>
      <c r="N28" s="92"/>
      <c r="O28" s="92"/>
      <c r="P28" s="96" t="s">
        <v>61</v>
      </c>
      <c r="Q28" s="96"/>
      <c r="R28" s="96"/>
      <c r="S28" s="96"/>
    </row>
    <row r="29" spans="7:19" x14ac:dyDescent="0.25">
      <c r="G29" s="95"/>
      <c r="H29" s="95"/>
      <c r="I29" s="95"/>
      <c r="J29" s="95"/>
      <c r="K29" s="95"/>
      <c r="L29" s="95"/>
      <c r="M29" s="95"/>
      <c r="N29" s="92"/>
      <c r="O29" s="92"/>
      <c r="P29" s="97" t="s">
        <v>115</v>
      </c>
      <c r="Q29" s="97"/>
      <c r="R29" s="97"/>
      <c r="S29" s="97"/>
    </row>
    <row r="30" spans="7:19" x14ac:dyDescent="0.25">
      <c r="G30" s="95"/>
      <c r="H30" s="95"/>
      <c r="I30" s="95"/>
      <c r="J30" s="95"/>
      <c r="K30" s="95"/>
      <c r="L30" s="95"/>
      <c r="M30" s="95"/>
      <c r="N30" s="92"/>
      <c r="O30" s="92"/>
      <c r="P30" s="234" t="s">
        <v>62</v>
      </c>
      <c r="Q30" s="234"/>
      <c r="R30" s="234"/>
      <c r="S30" s="234"/>
    </row>
    <row r="31" spans="7:19" x14ac:dyDescent="0.25"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spans="7:19" x14ac:dyDescent="0.25"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</sheetData>
  <mergeCells count="10">
    <mergeCell ref="G8:S9"/>
    <mergeCell ref="P30:S30"/>
    <mergeCell ref="G10:S10"/>
    <mergeCell ref="P26:S26"/>
    <mergeCell ref="G25:M25"/>
    <mergeCell ref="G26:M26"/>
    <mergeCell ref="G22:S22"/>
    <mergeCell ref="G21:S21"/>
    <mergeCell ref="P25:S25"/>
    <mergeCell ref="G23:P23"/>
  </mergeCells>
  <hyperlinks>
    <hyperlink ref="P29" r:id="rId1" xr:uid="{401BACC4-0332-43FC-A2EC-48A53F078160}"/>
    <hyperlink ref="P30" r:id="rId2" xr:uid="{594E8DF3-DB96-4189-8901-E148DA3F9316}"/>
    <hyperlink ref="P29:S29" r:id="rId3" location="shares" display="www.romcarbon.com" xr:uid="{FA73D314-5CA3-4FA3-B5E5-362A23C8D6E4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3E70-442B-4517-AA26-39466085205B}">
  <dimension ref="A1:AI90"/>
  <sheetViews>
    <sheetView showGridLines="0" topLeftCell="N1" zoomScale="90" zoomScaleNormal="90" workbookViewId="0">
      <selection activeCell="AF19" sqref="AF19"/>
    </sheetView>
  </sheetViews>
  <sheetFormatPr defaultColWidth="9.140625" defaultRowHeight="15" x14ac:dyDescent="0.25"/>
  <cols>
    <col min="1" max="1" width="22.5703125" style="20" customWidth="1"/>
    <col min="2" max="2" width="16.5703125" style="20" bestFit="1" customWidth="1"/>
    <col min="3" max="3" width="17.5703125" style="20" bestFit="1" customWidth="1"/>
    <col min="4" max="4" width="22.140625" style="20" customWidth="1"/>
    <col min="5" max="5" width="14.140625" style="20" bestFit="1" customWidth="1"/>
    <col min="6" max="6" width="14.5703125" style="20" bestFit="1" customWidth="1"/>
    <col min="7" max="7" width="13.42578125" style="20" bestFit="1" customWidth="1"/>
    <col min="8" max="8" width="12.85546875" style="20" bestFit="1" customWidth="1"/>
    <col min="9" max="9" width="13.85546875" style="20" bestFit="1" customWidth="1"/>
    <col min="10" max="10" width="8.5703125" style="20" bestFit="1" customWidth="1"/>
    <col min="11" max="11" width="4.42578125" style="20" customWidth="1"/>
    <col min="12" max="12" width="25.5703125" style="28" bestFit="1" customWidth="1"/>
    <col min="13" max="13" width="3" style="20" customWidth="1"/>
    <col min="14" max="14" width="16.140625" style="28" bestFit="1" customWidth="1"/>
    <col min="15" max="15" width="2.85546875" style="20" customWidth="1"/>
    <col min="16" max="16" width="9.42578125" style="20" bestFit="1" customWidth="1"/>
    <col min="17" max="17" width="22.85546875" style="20" customWidth="1"/>
    <col min="18" max="18" width="24.85546875" style="20" customWidth="1"/>
    <col min="19" max="19" width="3.42578125" style="20" customWidth="1"/>
    <col min="20" max="20" width="9.42578125" style="20" bestFit="1" customWidth="1"/>
    <col min="21" max="23" width="9.140625" style="20"/>
    <col min="24" max="24" width="9.140625" style="28"/>
    <col min="25" max="25" width="9.140625" style="20"/>
    <col min="26" max="26" width="3.5703125" style="20" customWidth="1"/>
    <col min="27" max="27" width="9.140625" style="20"/>
    <col min="28" max="28" width="20.85546875" style="20" bestFit="1" customWidth="1"/>
    <col min="29" max="29" width="33.42578125" style="20" customWidth="1"/>
    <col min="30" max="31" width="9.140625" style="20"/>
    <col min="32" max="32" width="34.42578125" style="20" bestFit="1" customWidth="1"/>
    <col min="33" max="34" width="16" style="20" bestFit="1" customWidth="1"/>
    <col min="35" max="16384" width="9.140625" style="20"/>
  </cols>
  <sheetData>
    <row r="1" spans="1:35" x14ac:dyDescent="0.25">
      <c r="A1" s="22" t="str">
        <f>A4&amp;" vs. "&amp;A5</f>
        <v>Datorii pe termen lung vs. Datorii curente</v>
      </c>
      <c r="B1" s="22"/>
    </row>
    <row r="2" spans="1:35" x14ac:dyDescent="0.25">
      <c r="L2" s="28" t="s">
        <v>63</v>
      </c>
      <c r="N2" s="28" t="s">
        <v>64</v>
      </c>
      <c r="X2" s="28" t="s">
        <v>65</v>
      </c>
    </row>
    <row r="3" spans="1:35" x14ac:dyDescent="0.25">
      <c r="B3" s="24">
        <v>2019</v>
      </c>
      <c r="C3" s="24">
        <f>B3+1</f>
        <v>2020</v>
      </c>
      <c r="D3" s="24">
        <f t="shared" ref="D3:H3" si="0">C3+1</f>
        <v>2021</v>
      </c>
      <c r="E3" s="24">
        <f t="shared" si="0"/>
        <v>2022</v>
      </c>
      <c r="F3" s="24">
        <f t="shared" si="0"/>
        <v>2023</v>
      </c>
      <c r="G3" s="24">
        <f t="shared" si="0"/>
        <v>2024</v>
      </c>
      <c r="H3" s="24">
        <f t="shared" si="0"/>
        <v>2025</v>
      </c>
      <c r="L3" s="28" t="s">
        <v>80</v>
      </c>
      <c r="N3" s="28" t="s">
        <v>82</v>
      </c>
      <c r="P3" s="20">
        <v>1</v>
      </c>
      <c r="Q3" s="20" t="s">
        <v>83</v>
      </c>
      <c r="R3" s="20" t="s">
        <v>74</v>
      </c>
      <c r="S3" s="20">
        <f>IF(Q3=$A$8,P3,"")</f>
        <v>1</v>
      </c>
      <c r="T3" s="20">
        <f>SMALL($S$3:$S$10,ROWS(S3:$S$3))</f>
        <v>1</v>
      </c>
      <c r="U3" s="20" t="str">
        <f>VLOOKUP(T3,$P$3:$R$10,3,0)</f>
        <v>Active pe termen lung</v>
      </c>
      <c r="X3" s="28" t="s">
        <v>74</v>
      </c>
      <c r="AA3" s="20">
        <v>1</v>
      </c>
      <c r="AB3" s="31" t="s">
        <v>74</v>
      </c>
      <c r="AC3" s="20" t="s">
        <v>1</v>
      </c>
      <c r="AD3" s="20" t="str">
        <f>IF(AB3=Grafice!$F$20,HiddenPage!AA3,"")</f>
        <v/>
      </c>
      <c r="AE3" s="20">
        <f>SMALL($AD$3:$AD$26,ROWS($AD3:AD$3))</f>
        <v>20</v>
      </c>
      <c r="AF3" s="20" t="str">
        <f>IF(ISERROR(VLOOKUP(AE3,$AA$3:$AC$30,3,0)),"",VLOOKUP(AE3,$AA$3:$AC$30,3,0))</f>
        <v xml:space="preserve">Datorii comerciale </v>
      </c>
      <c r="AG3" s="41">
        <f>SUMIF('1.Pozitia Financiara'!A:A,HiddenPage!AF3,'1.Pozitia Financiara'!C:C)+SUMIF('1.Pozitia Financiara'!A:A,HiddenPage!AF3,'1.Pozitia Financiara'!D:D)+SUMIF('1.Pozitia Financiara'!A:A,HiddenPage!AF3,'1.Pozitia Financiara'!E:E)+SUMIF('1.Pozitia Financiara'!A:A,HiddenPage!AF3,'1.Pozitia Financiara'!F:F)+SUMIF('1.Pozitia Financiara'!A:A,HiddenPage!AF3,'1.Pozitia Financiara'!G:G)+SUMIF('1.Pozitia Financiara'!A:A,HiddenPage!AF3,'1.Pozitia Financiara'!H:H)+SUMIF('1.Pozitia Financiara'!A:A,HiddenPage!AF3,'1.Pozitia Financiara'!B:B)</f>
        <v>220971354.72999999</v>
      </c>
      <c r="AH3" s="42">
        <f>LARGE($AG$3:$AG$13,ROWS(AF3:$AF$3))</f>
        <v>306600972.31999999</v>
      </c>
      <c r="AI3" s="36" t="str">
        <f t="shared" ref="AI3:AI13" si="1">INDEX(AF:AF,MATCH(AH3,AG:AG,0))</f>
        <v>Alte datorii financiare curente</v>
      </c>
    </row>
    <row r="4" spans="1:35" x14ac:dyDescent="0.25">
      <c r="A4" s="23" t="str">
        <f>Grafice!F2</f>
        <v>Datorii pe termen lung</v>
      </c>
      <c r="B4" s="25">
        <f>SUMIF('1.Pozitia Financiara'!$A:$A,$A4,'1.Pozitia Financiara'!B:B)</f>
        <v>34213036.980000004</v>
      </c>
      <c r="C4" s="25">
        <f>SUMIF('1.Pozitia Financiara'!$A:$A,$A4,'1.Pozitia Financiara'!C:C)</f>
        <v>25357319.530000001</v>
      </c>
      <c r="D4" s="25">
        <f>SUMIF('1.Pozitia Financiara'!$A:$A,$A4,'1.Pozitia Financiara'!D:D)</f>
        <v>21050092</v>
      </c>
      <c r="E4" s="25">
        <f>SUMIF('1.Pozitia Financiara'!$A:$A,$A4,'1.Pozitia Financiara'!E:E)</f>
        <v>20300611</v>
      </c>
      <c r="F4" s="25">
        <f>SUMIF('1.Pozitia Financiara'!$A:$A,$A4,'1.Pozitia Financiara'!F:F)</f>
        <v>21239183</v>
      </c>
      <c r="G4" s="25">
        <f>SUMIF('1.Pozitia Financiara'!$A:$A,$A4,'1.Pozitia Financiara'!G:G)</f>
        <v>13170661</v>
      </c>
      <c r="H4" s="25">
        <f>SUMIF('1.Pozitia Financiara'!$A:$A,$A4,'1.Pozitia Financiara'!H:H)</f>
        <v>14789980</v>
      </c>
      <c r="L4" s="28" t="s">
        <v>81</v>
      </c>
      <c r="N4" s="28" t="s">
        <v>83</v>
      </c>
      <c r="P4" s="20">
        <v>2</v>
      </c>
      <c r="Q4" s="20" t="s">
        <v>83</v>
      </c>
      <c r="R4" s="20" t="s">
        <v>75</v>
      </c>
      <c r="S4" s="20">
        <f t="shared" ref="S4:S10" si="2">IF(Q4=$A$8,P4,"")</f>
        <v>2</v>
      </c>
      <c r="T4" s="20">
        <f>SMALL($S$3:$S$10,ROWS(S$3:$S4))</f>
        <v>2</v>
      </c>
      <c r="U4" s="20" t="str">
        <f t="shared" ref="U4:U10" si="3">VLOOKUP(T4,$P$3:$R$10,3,0)</f>
        <v>Active curente</v>
      </c>
      <c r="X4" s="28" t="s">
        <v>75</v>
      </c>
      <c r="AA4" s="20">
        <f>AA3+1</f>
        <v>2</v>
      </c>
      <c r="AB4" s="31" t="s">
        <v>74</v>
      </c>
      <c r="AC4" s="20" t="s">
        <v>2</v>
      </c>
      <c r="AD4" s="20" t="str">
        <f>IF(AB4=Grafice!$F$20,HiddenPage!AA4,"")</f>
        <v/>
      </c>
      <c r="AE4" s="20">
        <f>SMALL($AD$3:$AD$26,ROWS($AD$3:AD4))</f>
        <v>21</v>
      </c>
      <c r="AF4" s="20" t="str">
        <f t="shared" ref="AF4:AF22" si="4">IF(ISERROR(VLOOKUP(AE4,$AA$3:$AC$30,3,0)),"",VLOOKUP(AE4,$AA$3:$AC$30,3,0))</f>
        <v>Alte datorii financiare curente</v>
      </c>
      <c r="AG4" s="41">
        <f>SUMIF('1.Pozitia Financiara'!A:A,HiddenPage!AF4,'1.Pozitia Financiara'!C:C)+SUMIF('1.Pozitia Financiara'!A:A,HiddenPage!AF4,'1.Pozitia Financiara'!D:D)+SUMIF('1.Pozitia Financiara'!A:A,HiddenPage!AF4,'1.Pozitia Financiara'!E:E)+SUMIF('1.Pozitia Financiara'!A:A,HiddenPage!AF4,'1.Pozitia Financiara'!F:F)+SUMIF('1.Pozitia Financiara'!A:A,HiddenPage!AF4,'1.Pozitia Financiara'!G:G)+SUMIF('1.Pozitia Financiara'!A:A,HiddenPage!AF4,'1.Pozitia Financiara'!H:H)+SUMIF('1.Pozitia Financiara'!A:A,HiddenPage!AF4,'1.Pozitia Financiara'!B:B)</f>
        <v>306600972.31999999</v>
      </c>
      <c r="AH4" s="42">
        <f>LARGE($AG$3:$AG$13,ROWS(AF$3:$AF4))</f>
        <v>220971354.72999999</v>
      </c>
      <c r="AI4" s="36" t="str">
        <f t="shared" si="1"/>
        <v xml:space="preserve">Datorii comerciale </v>
      </c>
    </row>
    <row r="5" spans="1:35" x14ac:dyDescent="0.25">
      <c r="A5" s="23" t="str">
        <f>Grafice!F3</f>
        <v>Datorii curente</v>
      </c>
      <c r="B5" s="25">
        <f>SUMIF('1.Pozitia Financiara'!$A:$A,$A5,'1.Pozitia Financiara'!B:B)</f>
        <v>74927615.74000001</v>
      </c>
      <c r="C5" s="25">
        <f>SUMIF('1.Pozitia Financiara'!$A:$A,$A5,'1.Pozitia Financiara'!C:C)</f>
        <v>67784319.150000006</v>
      </c>
      <c r="D5" s="25">
        <f>SUMIF('1.Pozitia Financiara'!$A:$A,$A5,'1.Pozitia Financiara'!D:D)</f>
        <v>88827897</v>
      </c>
      <c r="E5" s="25">
        <f>SUMIF('1.Pozitia Financiara'!$A:$A,$A5,'1.Pozitia Financiara'!E:E)</f>
        <v>99543850</v>
      </c>
      <c r="F5" s="25">
        <f>SUMIF('1.Pozitia Financiara'!$A:$A,$A5,'1.Pozitia Financiara'!F:F)</f>
        <v>69078926</v>
      </c>
      <c r="G5" s="25">
        <f>SUMIF('1.Pozitia Financiara'!$A:$A,$A5,'1.Pozitia Financiara'!G:G)</f>
        <v>81444885</v>
      </c>
      <c r="H5" s="25">
        <f>SUMIF('1.Pozitia Financiara'!$A:$A,$A5,'1.Pozitia Financiara'!H:H)</f>
        <v>81728944</v>
      </c>
      <c r="L5" s="28" t="s">
        <v>6</v>
      </c>
      <c r="N5" s="28" t="s">
        <v>11</v>
      </c>
      <c r="P5" s="20">
        <v>3</v>
      </c>
      <c r="Q5" s="20" t="s">
        <v>82</v>
      </c>
      <c r="R5" s="20" t="s">
        <v>80</v>
      </c>
      <c r="S5" s="20" t="str">
        <f t="shared" si="2"/>
        <v/>
      </c>
      <c r="T5" s="20" t="e">
        <f>SMALL($S$3:$S$10,ROWS(S$3:$S5))</f>
        <v>#NUM!</v>
      </c>
      <c r="U5" s="20" t="e">
        <f t="shared" si="3"/>
        <v>#NUM!</v>
      </c>
      <c r="X5" s="28" t="s">
        <v>80</v>
      </c>
      <c r="AA5" s="20">
        <f t="shared" ref="AA5:AA27" si="5">AA4+1</f>
        <v>3</v>
      </c>
      <c r="AB5" s="31" t="s">
        <v>74</v>
      </c>
      <c r="AC5" s="20" t="s">
        <v>3</v>
      </c>
      <c r="AD5" s="20" t="str">
        <f>IF(AB5=Grafice!$F$20,HiddenPage!AA5,"")</f>
        <v/>
      </c>
      <c r="AE5" s="20">
        <f>SMALL($AD$3:$AD$26,ROWS($AD$3:AD5))</f>
        <v>22</v>
      </c>
      <c r="AF5" s="20" t="str">
        <f t="shared" si="4"/>
        <v>Alte datorii nefinanciare curente</v>
      </c>
      <c r="AG5" s="41">
        <f>SUMIF('1.Pozitia Financiara'!A:A,HiddenPage!AF5,'1.Pozitia Financiara'!C:C)+SUMIF('1.Pozitia Financiara'!A:A,HiddenPage!AF5,'1.Pozitia Financiara'!D:D)+SUMIF('1.Pozitia Financiara'!A:A,HiddenPage!AF5,'1.Pozitia Financiara'!E:E)+SUMIF('1.Pozitia Financiara'!A:A,HiddenPage!AF5,'1.Pozitia Financiara'!F:F)+SUMIF('1.Pozitia Financiara'!A:A,HiddenPage!AF5,'1.Pozitia Financiara'!G:G)+SUMIF('1.Pozitia Financiara'!A:A,HiddenPage!AF5,'1.Pozitia Financiara'!H:H)+SUMIF('1.Pozitia Financiara'!A:A,HiddenPage!AF5,'1.Pozitia Financiara'!B:B)</f>
        <v>21683665.84</v>
      </c>
      <c r="AH5" s="42">
        <f>LARGE($AG$3:$AG$13,ROWS(AF$3:$AF5))</f>
        <v>21683665.84</v>
      </c>
      <c r="AI5" s="36" t="str">
        <f t="shared" si="1"/>
        <v>Alte datorii nefinanciare curente</v>
      </c>
    </row>
    <row r="6" spans="1:35" x14ac:dyDescent="0.25">
      <c r="L6" s="28" t="s">
        <v>76</v>
      </c>
      <c r="N6" s="28" t="s">
        <v>99</v>
      </c>
      <c r="P6" s="20">
        <v>4</v>
      </c>
      <c r="Q6" s="20" t="s">
        <v>82</v>
      </c>
      <c r="R6" s="20" t="s">
        <v>81</v>
      </c>
      <c r="S6" s="20" t="str">
        <f t="shared" si="2"/>
        <v/>
      </c>
      <c r="T6" s="20" t="e">
        <f>SMALL($S$3:$S$10,ROWS(S$3:$S6))</f>
        <v>#NUM!</v>
      </c>
      <c r="U6" s="20" t="e">
        <f t="shared" si="3"/>
        <v>#NUM!</v>
      </c>
      <c r="X6" s="28" t="s">
        <v>81</v>
      </c>
      <c r="AA6" s="20">
        <f t="shared" si="5"/>
        <v>4</v>
      </c>
      <c r="AB6" s="31" t="s">
        <v>74</v>
      </c>
      <c r="AC6" s="20" t="s">
        <v>4</v>
      </c>
      <c r="AD6" s="20" t="str">
        <f>IF(AB6=Grafice!$F$20,HiddenPage!AA6,"")</f>
        <v/>
      </c>
      <c r="AE6" s="20">
        <f>SMALL($AD$3:$AD$26,ROWS($AD$3:AD6))</f>
        <v>24</v>
      </c>
      <c r="AF6" s="20" t="str">
        <f t="shared" si="4"/>
        <v>Subventii pe termen scurt</v>
      </c>
      <c r="AG6" s="41">
        <f>SUMIF('1.Pozitia Financiara'!A:A,HiddenPage!AF6,'1.Pozitia Financiara'!C:C)+SUMIF('1.Pozitia Financiara'!A:A,HiddenPage!AF6,'1.Pozitia Financiara'!D:D)+SUMIF('1.Pozitia Financiara'!A:A,HiddenPage!AF6,'1.Pozitia Financiara'!E:E)+SUMIF('1.Pozitia Financiara'!A:A,HiddenPage!AF6,'1.Pozitia Financiara'!F:F)+SUMIF('1.Pozitia Financiara'!A:A,HiddenPage!AF6,'1.Pozitia Financiara'!G:G)+SUMIF('1.Pozitia Financiara'!A:A,HiddenPage!AF6,'1.Pozitia Financiara'!H:H)+SUMIF('1.Pozitia Financiara'!A:A,HiddenPage!AF6,'1.Pozitia Financiara'!B:B)</f>
        <v>14080444</v>
      </c>
      <c r="AH6" s="42">
        <f>LARGE($AG$3:$AG$13,ROWS(AF$3:$AF6))</f>
        <v>14080444</v>
      </c>
      <c r="AI6" s="36" t="str">
        <f t="shared" si="1"/>
        <v>Subventii pe termen scurt</v>
      </c>
    </row>
    <row r="7" spans="1:35" x14ac:dyDescent="0.25">
      <c r="A7" s="22" t="str">
        <f>A10&amp;" vs. "&amp;A11</f>
        <v>Active pe termen lung vs. Active curente</v>
      </c>
      <c r="B7" s="22"/>
      <c r="C7" s="22"/>
      <c r="D7" s="21" t="str">
        <f>I9&amp;" structura indicatorului "&amp;A8</f>
        <v>2025 structura indicatorului Active</v>
      </c>
      <c r="E7" s="21"/>
      <c r="L7" s="28" t="s">
        <v>80</v>
      </c>
      <c r="P7" s="20">
        <v>5</v>
      </c>
      <c r="Q7" s="20" t="s">
        <v>11</v>
      </c>
      <c r="R7" s="20" t="s">
        <v>163</v>
      </c>
      <c r="S7" s="20" t="str">
        <f t="shared" si="2"/>
        <v/>
      </c>
      <c r="T7" s="20" t="e">
        <f>SMALL($S$3:$S$10,ROWS(S$3:$S7))</f>
        <v>#NUM!</v>
      </c>
      <c r="U7" s="20" t="e">
        <f t="shared" si="3"/>
        <v>#NUM!</v>
      </c>
      <c r="X7" s="28" t="s">
        <v>76</v>
      </c>
      <c r="AA7" s="20">
        <f t="shared" si="5"/>
        <v>5</v>
      </c>
      <c r="AB7" s="31" t="s">
        <v>75</v>
      </c>
      <c r="AC7" s="20" t="s">
        <v>135</v>
      </c>
      <c r="AD7" s="20" t="str">
        <f>IF(AB7=Grafice!$F$20,HiddenPage!AA7,"")</f>
        <v/>
      </c>
      <c r="AE7" s="20" t="e">
        <f>SMALL($AD$3:$AD$26,ROWS($AD$3:AD7))</f>
        <v>#NUM!</v>
      </c>
      <c r="AF7" s="20" t="str">
        <f t="shared" si="4"/>
        <v/>
      </c>
      <c r="AG7" s="41">
        <f>SUMIF('1.Pozitia Financiara'!A:A,HiddenPage!AF7,'1.Pozitia Financiara'!C:C)+SUMIF('1.Pozitia Financiara'!A:A,HiddenPage!AF7,'1.Pozitia Financiara'!D:D)+SUMIF('1.Pozitia Financiara'!A:A,HiddenPage!AF7,'1.Pozitia Financiara'!E:E)+SUMIF('1.Pozitia Financiara'!A:A,HiddenPage!AF7,'1.Pozitia Financiara'!F:F)+SUMIF('1.Pozitia Financiara'!A:A,HiddenPage!AF7,'1.Pozitia Financiara'!G:G)+SUMIF('1.Pozitia Financiara'!A:A,HiddenPage!AF7,'1.Pozitia Financiara'!H:H)+SUMIF('1.Pozitia Financiara'!A:A,HiddenPage!AF7,'1.Pozitia Financiara'!B:B)</f>
        <v>0</v>
      </c>
      <c r="AH7" s="42">
        <f>LARGE($AG$3:$AG$13,ROWS(AF$3:$AF7))</f>
        <v>0</v>
      </c>
      <c r="AI7" s="36" t="str">
        <f t="shared" si="1"/>
        <v/>
      </c>
    </row>
    <row r="8" spans="1:35" x14ac:dyDescent="0.25">
      <c r="A8" s="20" t="str">
        <f>Grafice!N2</f>
        <v>Active</v>
      </c>
      <c r="B8" s="20">
        <f>IF(B9=Grafice!$U$2,1,0)</f>
        <v>0</v>
      </c>
      <c r="C8" s="20">
        <f>IF(C9=Grafice!$U$2,1,0)</f>
        <v>0</v>
      </c>
      <c r="D8" s="20">
        <f>IF(D9=Grafice!$U$2,1,0)</f>
        <v>0</v>
      </c>
      <c r="E8" s="20">
        <f>IF(E9=Grafice!$U$2,1,0)</f>
        <v>0</v>
      </c>
      <c r="F8" s="20">
        <f>IF(F9=Grafice!$U$2,1,0)</f>
        <v>0</v>
      </c>
      <c r="G8" s="20">
        <f>IF(G9=Grafice!$U$2,1,0)</f>
        <v>0</v>
      </c>
      <c r="H8" s="20">
        <f>IF(H9=Grafice!$U$2,1,0)</f>
        <v>1</v>
      </c>
      <c r="L8" s="28" t="s">
        <v>81</v>
      </c>
      <c r="P8" s="20">
        <v>6</v>
      </c>
      <c r="Q8" s="20" t="s">
        <v>11</v>
      </c>
      <c r="R8" s="31" t="s">
        <v>146</v>
      </c>
      <c r="S8" s="20" t="str">
        <f t="shared" si="2"/>
        <v/>
      </c>
      <c r="T8" s="20" t="e">
        <f>SMALL($S$3:$S$10,ROWS(S$3:$S8))</f>
        <v>#NUM!</v>
      </c>
      <c r="U8" s="20" t="e">
        <f t="shared" si="3"/>
        <v>#NUM!</v>
      </c>
      <c r="AA8" s="20">
        <f t="shared" si="5"/>
        <v>6</v>
      </c>
      <c r="AB8" s="31" t="s">
        <v>75</v>
      </c>
      <c r="AC8" s="20" t="s">
        <v>5</v>
      </c>
      <c r="AD8" s="20" t="str">
        <f>IF(AB8=Grafice!$F$20,HiddenPage!AA8,"")</f>
        <v/>
      </c>
      <c r="AE8" s="20" t="e">
        <f>SMALL($AD$3:$AD$26,ROWS($AD$3:AD8))</f>
        <v>#NUM!</v>
      </c>
      <c r="AF8" s="20" t="str">
        <f t="shared" si="4"/>
        <v/>
      </c>
      <c r="AG8" s="41">
        <f>SUMIF('1.Pozitia Financiara'!A:A,HiddenPage!AF8,'1.Pozitia Financiara'!C:C)+SUMIF('1.Pozitia Financiara'!A:A,HiddenPage!AF8,'1.Pozitia Financiara'!D:D)+SUMIF('1.Pozitia Financiara'!A:A,HiddenPage!AF8,'1.Pozitia Financiara'!E:E)+SUMIF('1.Pozitia Financiara'!A:A,HiddenPage!AF8,'1.Pozitia Financiara'!F:F)+SUMIF('1.Pozitia Financiara'!A:A,HiddenPage!AF8,'1.Pozitia Financiara'!G:G)+SUMIF('1.Pozitia Financiara'!A:A,HiddenPage!AF8,'1.Pozitia Financiara'!H:H)+SUMIF('1.Pozitia Financiara'!A:A,HiddenPage!AF8,'1.Pozitia Financiara'!B:B)</f>
        <v>0</v>
      </c>
      <c r="AH8" s="42">
        <f>LARGE($AG$3:$AG$13,ROWS(AF$3:$AF8))</f>
        <v>0</v>
      </c>
      <c r="AI8" s="36" t="str">
        <f t="shared" si="1"/>
        <v/>
      </c>
    </row>
    <row r="9" spans="1:35" x14ac:dyDescent="0.25">
      <c r="B9" s="24">
        <f>B3</f>
        <v>2019</v>
      </c>
      <c r="C9" s="24">
        <f>B9+1</f>
        <v>2020</v>
      </c>
      <c r="D9" s="24">
        <f t="shared" ref="D9:H9" si="6">C9+1</f>
        <v>2021</v>
      </c>
      <c r="E9" s="24">
        <f t="shared" si="6"/>
        <v>2022</v>
      </c>
      <c r="F9" s="24">
        <f t="shared" si="6"/>
        <v>2023</v>
      </c>
      <c r="G9" s="24">
        <f t="shared" si="6"/>
        <v>2024</v>
      </c>
      <c r="H9" s="24">
        <f t="shared" si="6"/>
        <v>2025</v>
      </c>
      <c r="I9" s="24">
        <f>Grafice!U2</f>
        <v>2025</v>
      </c>
      <c r="L9" s="28" t="s">
        <v>12</v>
      </c>
      <c r="P9" s="20">
        <v>7</v>
      </c>
      <c r="Q9" s="20" t="s">
        <v>99</v>
      </c>
      <c r="R9" s="20" t="s">
        <v>12</v>
      </c>
      <c r="S9" s="20" t="str">
        <f t="shared" si="2"/>
        <v/>
      </c>
      <c r="T9" s="20" t="e">
        <f>SMALL($S$3:$S$10,ROWS(S$3:$S9))</f>
        <v>#NUM!</v>
      </c>
      <c r="U9" s="20" t="e">
        <f t="shared" si="3"/>
        <v>#NUM!</v>
      </c>
      <c r="AA9" s="20">
        <f t="shared" si="5"/>
        <v>7</v>
      </c>
      <c r="AB9" s="31" t="s">
        <v>75</v>
      </c>
      <c r="AC9" s="20" t="s">
        <v>136</v>
      </c>
      <c r="AD9" s="20" t="str">
        <f>IF(AB9=Grafice!$F$20,HiddenPage!AA9,"")</f>
        <v/>
      </c>
      <c r="AE9" s="20" t="e">
        <f>SMALL($AD$3:$AD$26,ROWS($AD$3:AD9))</f>
        <v>#NUM!</v>
      </c>
      <c r="AF9" s="20" t="str">
        <f t="shared" si="4"/>
        <v/>
      </c>
      <c r="AG9" s="41">
        <f>SUMIF('1.Pozitia Financiara'!A:A,HiddenPage!AF9,'1.Pozitia Financiara'!C:C)+SUMIF('1.Pozitia Financiara'!A:A,HiddenPage!AF9,'1.Pozitia Financiara'!D:D)+SUMIF('1.Pozitia Financiara'!A:A,HiddenPage!AF9,'1.Pozitia Financiara'!E:E)+SUMIF('1.Pozitia Financiara'!A:A,HiddenPage!AF9,'1.Pozitia Financiara'!F:F)+SUMIF('1.Pozitia Financiara'!A:A,HiddenPage!AF9,'1.Pozitia Financiara'!G:G)+SUMIF('1.Pozitia Financiara'!A:A,HiddenPage!AF9,'1.Pozitia Financiara'!H:H)+SUMIF('1.Pozitia Financiara'!A:A,HiddenPage!AF9,'1.Pozitia Financiara'!B:B)</f>
        <v>0</v>
      </c>
      <c r="AH9" s="42">
        <f>LARGE($AG$3:$AG$13,ROWS(AF$3:$AF9))</f>
        <v>0</v>
      </c>
      <c r="AI9" s="36" t="str">
        <f t="shared" si="1"/>
        <v/>
      </c>
    </row>
    <row r="10" spans="1:35" x14ac:dyDescent="0.25">
      <c r="A10" s="23" t="str">
        <f>U3</f>
        <v>Active pe termen lung</v>
      </c>
      <c r="B10" s="25">
        <f>SUMIF('1.Pozitia Financiara'!$A:$A,$A45,'1.Pozitia Financiara'!B:B)</f>
        <v>163480244.93000001</v>
      </c>
      <c r="C10" s="25">
        <f>SUMIF('1.Pozitia Financiara'!$A:$A,$A45,'1.Pozitia Financiara'!C:C)</f>
        <v>152917931.06</v>
      </c>
      <c r="D10" s="25">
        <f>SUMIF('1.Pozitia Financiara'!$A:$A,$A45,'1.Pozitia Financiara'!D:D)</f>
        <v>138364502</v>
      </c>
      <c r="E10" s="25">
        <f>SUMIF('1.Pozitia Financiara'!$A:$A,$A45,'1.Pozitia Financiara'!E:E)</f>
        <v>133313885</v>
      </c>
      <c r="F10" s="25">
        <f>SUMIF('1.Pozitia Financiara'!$A:$A,$A45,'1.Pozitia Financiara'!F:F)</f>
        <v>118936705</v>
      </c>
      <c r="G10" s="25">
        <f>SUMIF('1.Pozitia Financiara'!$A:$A,$A45,'1.Pozitia Financiara'!G:G)</f>
        <v>126388533</v>
      </c>
      <c r="H10" s="25">
        <f>SUMIF('1.Pozitia Financiara'!$A:$A,$A45,'1.Pozitia Financiara'!H:H)</f>
        <v>129078789</v>
      </c>
      <c r="I10" s="25">
        <f>SUMPRODUCT(B10:H10,$B$8:$H$8)</f>
        <v>129078789</v>
      </c>
      <c r="L10" s="28" t="s">
        <v>13</v>
      </c>
      <c r="P10" s="20">
        <v>8</v>
      </c>
      <c r="Q10" s="20" t="s">
        <v>99</v>
      </c>
      <c r="R10" s="20" t="s">
        <v>76</v>
      </c>
      <c r="S10" s="20" t="str">
        <f t="shared" si="2"/>
        <v/>
      </c>
      <c r="T10" s="20" t="e">
        <f>SMALL($S$3:$S$10,ROWS(S$3:$S10))</f>
        <v>#NUM!</v>
      </c>
      <c r="U10" s="20" t="e">
        <f t="shared" si="3"/>
        <v>#NUM!</v>
      </c>
      <c r="AA10" s="20">
        <f t="shared" si="5"/>
        <v>8</v>
      </c>
      <c r="AB10" s="31" t="s">
        <v>75</v>
      </c>
      <c r="AC10" s="20" t="s">
        <v>137</v>
      </c>
      <c r="AD10" s="20" t="str">
        <f>IF(AB10=Grafice!$F$20,HiddenPage!AA10,"")</f>
        <v/>
      </c>
      <c r="AE10" s="20" t="e">
        <f>SMALL($AD$3:$AD$26,ROWS($AD$3:AD10))</f>
        <v>#NUM!</v>
      </c>
      <c r="AF10" s="20" t="str">
        <f t="shared" si="4"/>
        <v/>
      </c>
      <c r="AG10" s="41">
        <f>SUMIF('1.Pozitia Financiara'!A:A,HiddenPage!AF10,'1.Pozitia Financiara'!C:C)+SUMIF('1.Pozitia Financiara'!A:A,HiddenPage!AF10,'1.Pozitia Financiara'!D:D)+SUMIF('1.Pozitia Financiara'!A:A,HiddenPage!AF10,'1.Pozitia Financiara'!E:E)+SUMIF('1.Pozitia Financiara'!A:A,HiddenPage!AF10,'1.Pozitia Financiara'!F:F)+SUMIF('1.Pozitia Financiara'!A:A,HiddenPage!AF10,'1.Pozitia Financiara'!G:G)+SUMIF('1.Pozitia Financiara'!A:A,HiddenPage!AF10,'1.Pozitia Financiara'!H:H)+SUMIF('1.Pozitia Financiara'!A:A,HiddenPage!AF10,'1.Pozitia Financiara'!B:B)</f>
        <v>0</v>
      </c>
      <c r="AH10" s="42">
        <f>LARGE($AG$3:$AG$13,ROWS(AF$3:$AF10))</f>
        <v>0</v>
      </c>
      <c r="AI10" s="36" t="str">
        <f t="shared" si="1"/>
        <v/>
      </c>
    </row>
    <row r="11" spans="1:35" x14ac:dyDescent="0.25">
      <c r="A11" s="23" t="str">
        <f>U4</f>
        <v>Active curente</v>
      </c>
      <c r="B11" s="25">
        <f>SUMIF('1.Pozitia Financiara'!$A:$A,$A46,'1.Pozitia Financiara'!B:B)</f>
        <v>82714660.589999989</v>
      </c>
      <c r="C11" s="25">
        <f>SUMIF('1.Pozitia Financiara'!$A:$A,$A46,'1.Pozitia Financiara'!C:C)</f>
        <v>78436249.86999999</v>
      </c>
      <c r="D11" s="25">
        <f>SUMIF('1.Pozitia Financiara'!$A:$A,$A46,'1.Pozitia Financiara'!D:D)</f>
        <v>105658368</v>
      </c>
      <c r="E11" s="25">
        <f>SUMIF('1.Pozitia Financiara'!$A:$A,$A46,'1.Pozitia Financiara'!E:E)</f>
        <v>146753533</v>
      </c>
      <c r="F11" s="25">
        <f>SUMIF('1.Pozitia Financiara'!$A:$A,$A46,'1.Pozitia Financiara'!F:F)</f>
        <v>122197547</v>
      </c>
      <c r="G11" s="25">
        <f>SUMIF('1.Pozitia Financiara'!$A:$A,$A46,'1.Pozitia Financiara'!G:G)</f>
        <v>110595628</v>
      </c>
      <c r="H11" s="25">
        <f>SUMIF('1.Pozitia Financiara'!$A:$A,$A46,'1.Pozitia Financiara'!H:H)</f>
        <v>110093584</v>
      </c>
      <c r="I11" s="25">
        <f>SUMPRODUCT(B11:H11,$B$8:$H$8)</f>
        <v>110093584</v>
      </c>
      <c r="L11" s="28" t="s">
        <v>74</v>
      </c>
      <c r="AA11" s="20">
        <f t="shared" si="5"/>
        <v>9</v>
      </c>
      <c r="AB11" s="31" t="s">
        <v>75</v>
      </c>
      <c r="AC11" s="20" t="s">
        <v>138</v>
      </c>
      <c r="AD11" s="20" t="str">
        <f>IF(AB11=Grafice!$F$20,HiddenPage!AA11,"")</f>
        <v/>
      </c>
      <c r="AE11" s="20" t="e">
        <f>SMALL($AD$3:$AD$26,ROWS($AD$3:AD11))</f>
        <v>#NUM!</v>
      </c>
      <c r="AF11" s="20" t="str">
        <f t="shared" si="4"/>
        <v/>
      </c>
      <c r="AG11" s="41">
        <f>SUMIF('1.Pozitia Financiara'!A:A,HiddenPage!AF11,'1.Pozitia Financiara'!C:C)+SUMIF('1.Pozitia Financiara'!A:A,HiddenPage!AF11,'1.Pozitia Financiara'!D:D)+SUMIF('1.Pozitia Financiara'!A:A,HiddenPage!AF11,'1.Pozitia Financiara'!E:E)+SUMIF('1.Pozitia Financiara'!A:A,HiddenPage!AF11,'1.Pozitia Financiara'!F:F)+SUMIF('1.Pozitia Financiara'!A:A,HiddenPage!AF11,'1.Pozitia Financiara'!G:G)+SUMIF('1.Pozitia Financiara'!A:A,HiddenPage!AF11,'1.Pozitia Financiara'!H:H)+SUMIF('1.Pozitia Financiara'!A:A,HiddenPage!AF11,'1.Pozitia Financiara'!B:B)</f>
        <v>0</v>
      </c>
      <c r="AH11" s="42">
        <f>LARGE($AG$3:$AG$13,ROWS(AF$3:$AF11))</f>
        <v>0</v>
      </c>
      <c r="AI11" s="36" t="str">
        <f t="shared" si="1"/>
        <v/>
      </c>
    </row>
    <row r="12" spans="1:35" x14ac:dyDescent="0.25">
      <c r="L12" s="28" t="s">
        <v>75</v>
      </c>
      <c r="AA12" s="20">
        <f t="shared" si="5"/>
        <v>10</v>
      </c>
      <c r="AB12" s="31" t="s">
        <v>75</v>
      </c>
      <c r="AC12" s="20" t="s">
        <v>139</v>
      </c>
      <c r="AD12" s="20" t="str">
        <f>IF(AB12=Grafice!$F$20,HiddenPage!AA12,"")</f>
        <v/>
      </c>
      <c r="AE12" s="20" t="e">
        <f>SMALL($AD$3:$AD$26,ROWS($AD$3:AD12))</f>
        <v>#NUM!</v>
      </c>
      <c r="AF12" s="20" t="str">
        <f t="shared" si="4"/>
        <v/>
      </c>
      <c r="AG12" s="41">
        <f>SUMIF('1.Pozitia Financiara'!A:A,HiddenPage!AF12,'1.Pozitia Financiara'!C:C)+SUMIF('1.Pozitia Financiara'!A:A,HiddenPage!AF12,'1.Pozitia Financiara'!D:D)+SUMIF('1.Pozitia Financiara'!A:A,HiddenPage!AF12,'1.Pozitia Financiara'!E:E)+SUMIF('1.Pozitia Financiara'!A:A,HiddenPage!AF12,'1.Pozitia Financiara'!F:F)+SUMIF('1.Pozitia Financiara'!A:A,HiddenPage!AF12,'1.Pozitia Financiara'!G:G)+SUMIF('1.Pozitia Financiara'!A:A,HiddenPage!AF12,'1.Pozitia Financiara'!H:H)+SUMIF('1.Pozitia Financiara'!A:A,HiddenPage!AF12,'1.Pozitia Financiara'!B:B)</f>
        <v>0</v>
      </c>
      <c r="AH12" s="42">
        <f>LARGE($AG$3:$AG$13,ROWS(AF$3:$AF12))</f>
        <v>0</v>
      </c>
      <c r="AI12" s="36" t="str">
        <f t="shared" si="1"/>
        <v/>
      </c>
    </row>
    <row r="13" spans="1:35" x14ac:dyDescent="0.25">
      <c r="A13" s="20" t="str">
        <f>"Componenta indicatorului "&amp;Grafice!F20&amp;" in "&amp;Grafice!F21</f>
        <v>Componenta indicatorului Datorii curente in 2025</v>
      </c>
      <c r="L13" s="37" t="s">
        <v>146</v>
      </c>
      <c r="AA13" s="20">
        <f t="shared" si="5"/>
        <v>11</v>
      </c>
      <c r="AB13" s="31" t="s">
        <v>75</v>
      </c>
      <c r="AC13" s="20" t="s">
        <v>140</v>
      </c>
      <c r="AD13" s="20" t="str">
        <f>IF(AB13=Grafice!$F$20,HiddenPage!AA13,"")</f>
        <v/>
      </c>
      <c r="AE13" s="20" t="e">
        <f>SMALL($AD$3:$AD$26,ROWS($AD$3:AD13))</f>
        <v>#NUM!</v>
      </c>
      <c r="AF13" s="20" t="str">
        <f t="shared" si="4"/>
        <v/>
      </c>
      <c r="AG13" s="41">
        <f>SUMIF('1.Pozitia Financiara'!A:A,HiddenPage!AF13,'1.Pozitia Financiara'!C:C)+SUMIF('1.Pozitia Financiara'!A:A,HiddenPage!AF13,'1.Pozitia Financiara'!D:D)+SUMIF('1.Pozitia Financiara'!A:A,HiddenPage!AF13,'1.Pozitia Financiara'!E:E)+SUMIF('1.Pozitia Financiara'!A:A,HiddenPage!AF13,'1.Pozitia Financiara'!F:F)+SUMIF('1.Pozitia Financiara'!A:A,HiddenPage!AF13,'1.Pozitia Financiara'!G:G)+SUMIF('1.Pozitia Financiara'!A:A,HiddenPage!AF13,'1.Pozitia Financiara'!H:H)+SUMIF('1.Pozitia Financiara'!A:A,HiddenPage!AF13,'1.Pozitia Financiara'!B:B)</f>
        <v>0</v>
      </c>
      <c r="AH13" s="42">
        <f>LARGE($AG$3:$AG$13,ROWS(AF$3:$AF13))</f>
        <v>0</v>
      </c>
      <c r="AI13" s="36" t="str">
        <f t="shared" si="1"/>
        <v/>
      </c>
    </row>
    <row r="14" spans="1:35" x14ac:dyDescent="0.25">
      <c r="B14" s="20">
        <f>IF(B15=Grafice!$F$21,1,0)</f>
        <v>0</v>
      </c>
      <c r="C14" s="20">
        <f>IF(C15=Grafice!$F$21,1,0)</f>
        <v>0</v>
      </c>
      <c r="D14" s="20">
        <f>IF(D15=Grafice!$F$21,1,0)</f>
        <v>0</v>
      </c>
      <c r="E14" s="20">
        <f>IF(E15=Grafice!$F$21,1,0)</f>
        <v>0</v>
      </c>
      <c r="F14" s="20">
        <f>IF(F15=Grafice!$F$21,1,0)</f>
        <v>0</v>
      </c>
      <c r="G14" s="20">
        <f>IF(G15=Grafice!$F$21,1,0)</f>
        <v>0</v>
      </c>
      <c r="H14" s="20">
        <f>IF(H15=Grafice!$F$21,1,0)</f>
        <v>1</v>
      </c>
      <c r="L14" s="37" t="s">
        <v>163</v>
      </c>
      <c r="AA14" s="20">
        <f t="shared" si="5"/>
        <v>12</v>
      </c>
      <c r="AB14" s="31" t="s">
        <v>76</v>
      </c>
      <c r="AC14" s="20" t="s">
        <v>7</v>
      </c>
      <c r="AD14" s="20" t="str">
        <f>IF(AB14=Grafice!$F$20,HiddenPage!AA14,"")</f>
        <v/>
      </c>
      <c r="AE14" s="20" t="e">
        <f>SMALL($AD$3:$AD$26,ROWS($AD$3:AD14))</f>
        <v>#NUM!</v>
      </c>
      <c r="AF14" s="20" t="str">
        <f t="shared" si="4"/>
        <v/>
      </c>
    </row>
    <row r="15" spans="1:35" x14ac:dyDescent="0.25">
      <c r="B15" s="24">
        <f>B9</f>
        <v>2019</v>
      </c>
      <c r="C15" s="24">
        <f>B15+1</f>
        <v>2020</v>
      </c>
      <c r="D15" s="24">
        <f t="shared" ref="D15:H15" si="7">C15+1</f>
        <v>2021</v>
      </c>
      <c r="E15" s="24">
        <f t="shared" si="7"/>
        <v>2022</v>
      </c>
      <c r="F15" s="24">
        <f t="shared" si="7"/>
        <v>2023</v>
      </c>
      <c r="G15" s="24">
        <f t="shared" si="7"/>
        <v>2024</v>
      </c>
      <c r="H15" s="24">
        <f t="shared" si="7"/>
        <v>2025</v>
      </c>
      <c r="I15" s="36" t="s">
        <v>102</v>
      </c>
      <c r="J15" s="36" t="s">
        <v>103</v>
      </c>
      <c r="L15" s="28" t="s">
        <v>104</v>
      </c>
      <c r="M15" s="36"/>
      <c r="N15" s="9" t="s">
        <v>105</v>
      </c>
      <c r="O15" s="9"/>
      <c r="P15" s="9"/>
      <c r="Q15" s="9" t="s">
        <v>106</v>
      </c>
      <c r="R15" s="9" t="s">
        <v>107</v>
      </c>
      <c r="AA15" s="20">
        <f t="shared" si="5"/>
        <v>13</v>
      </c>
      <c r="AB15" s="31" t="s">
        <v>76</v>
      </c>
      <c r="AC15" s="20" t="s">
        <v>8</v>
      </c>
      <c r="AD15" s="20" t="str">
        <f>IF(AB15=Grafice!$F$20,HiddenPage!AA15,"")</f>
        <v/>
      </c>
      <c r="AE15" s="20" t="e">
        <f>SMALL($AD$3:$AD$26,ROWS($AD$3:AD15))</f>
        <v>#NUM!</v>
      </c>
      <c r="AF15" s="20" t="str">
        <f t="shared" si="4"/>
        <v/>
      </c>
    </row>
    <row r="16" spans="1:35" x14ac:dyDescent="0.25">
      <c r="A16" s="23" t="str">
        <f>AF3</f>
        <v xml:space="preserve">Datorii comerciale </v>
      </c>
      <c r="B16" s="25">
        <f>SUMIF('1.Pozitia Financiara'!$A:$A,$A16,'1.Pozitia Financiara'!B:B)</f>
        <v>23643048.73</v>
      </c>
      <c r="C16" s="25">
        <f>SUMIF('1.Pozitia Financiara'!$A:$A,$A16,'1.Pozitia Financiara'!C:C)</f>
        <v>26129532.000000004</v>
      </c>
      <c r="D16" s="25">
        <f>SUMIF('1.Pozitia Financiara'!$A:$A,$A16,'1.Pozitia Financiara'!D:D)</f>
        <v>37161910</v>
      </c>
      <c r="E16" s="25">
        <f>SUMIF('1.Pozitia Financiara'!$A:$A,$A16,'1.Pozitia Financiara'!E:E)</f>
        <v>48060900</v>
      </c>
      <c r="F16" s="25">
        <f>SUMIF('1.Pozitia Financiara'!$A:$A,$A16,'1.Pozitia Financiara'!F:F)</f>
        <v>24772723</v>
      </c>
      <c r="G16" s="25">
        <f>SUMIF('1.Pozitia Financiara'!$A:$A,$A16,'1.Pozitia Financiara'!G:G)</f>
        <v>34178761</v>
      </c>
      <c r="H16" s="25">
        <f>SUMIF('1.Pozitia Financiara'!$A:$A,$A16,'1.Pozitia Financiara'!H:H)</f>
        <v>27024480</v>
      </c>
      <c r="I16" s="25">
        <f>SUMPRODUCT($B$14:$H$14,B16:H16)</f>
        <v>27024480</v>
      </c>
      <c r="J16" s="44">
        <f>RANK(I16,$I$16:$I$22,0)+COUNTIF($I16:I$22,I16)-1</f>
        <v>2</v>
      </c>
      <c r="L16" s="28">
        <v>1</v>
      </c>
      <c r="M16" s="36"/>
      <c r="N16" s="9" t="str">
        <f>INDEX($A$16:$A$22,MATCH(L16,$J$16:$J$22,0))</f>
        <v>Alte datorii financiare curente</v>
      </c>
      <c r="O16" s="9"/>
      <c r="P16" s="9"/>
      <c r="Q16" s="47">
        <f>SUMIF($A$16:$A$22,N16,$I$16:$I$22)</f>
        <v>49957415</v>
      </c>
      <c r="R16" s="48">
        <f>Q16/$Q$23</f>
        <v>0.61125731662457305</v>
      </c>
      <c r="AA16" s="20">
        <f t="shared" si="5"/>
        <v>14</v>
      </c>
      <c r="AB16" s="31" t="s">
        <v>76</v>
      </c>
      <c r="AC16" s="20" t="s">
        <v>9</v>
      </c>
      <c r="AD16" s="20" t="str">
        <f>IF(AB16=Grafice!$F$20,HiddenPage!AA16,"")</f>
        <v/>
      </c>
      <c r="AE16" s="20" t="e">
        <f>SMALL($AD$3:$AD$26,ROWS($AD$3:AD16))</f>
        <v>#NUM!</v>
      </c>
      <c r="AF16" s="20" t="str">
        <f t="shared" si="4"/>
        <v/>
      </c>
    </row>
    <row r="17" spans="1:32" x14ac:dyDescent="0.25">
      <c r="A17" s="23" t="str">
        <f t="shared" ref="A17:A22" si="8">AF4</f>
        <v>Alte datorii financiare curente</v>
      </c>
      <c r="B17" s="25">
        <f>SUMIF('1.Pozitia Financiara'!$A:$A,$A17,'1.Pozitia Financiara'!B:B)</f>
        <v>46071939.200000003</v>
      </c>
      <c r="C17" s="25">
        <f>SUMIF('1.Pozitia Financiara'!$A:$A,$A17,'1.Pozitia Financiara'!C:C)</f>
        <v>37277228.120000005</v>
      </c>
      <c r="D17" s="25">
        <f>SUMIF('1.Pozitia Financiara'!$A:$A,$A17,'1.Pozitia Financiara'!D:D)</f>
        <v>46860194</v>
      </c>
      <c r="E17" s="25">
        <f>SUMIF('1.Pozitia Financiara'!$A:$A,$A17,'1.Pozitia Financiara'!E:E)</f>
        <v>45859692</v>
      </c>
      <c r="F17" s="25">
        <f>SUMIF('1.Pozitia Financiara'!$A:$A,$A17,'1.Pozitia Financiara'!F:F)</f>
        <v>38178595</v>
      </c>
      <c r="G17" s="25">
        <f>SUMIF('1.Pozitia Financiara'!$A:$A,$A17,'1.Pozitia Financiara'!G:G)</f>
        <v>42395909</v>
      </c>
      <c r="H17" s="25">
        <f>SUMIF('1.Pozitia Financiara'!$A:$A,$A17,'1.Pozitia Financiara'!H:H)</f>
        <v>49957415</v>
      </c>
      <c r="I17" s="25">
        <f t="shared" ref="I17:I22" si="9">SUMPRODUCT($B$14:$H$14,B17:H17)</f>
        <v>49957415</v>
      </c>
      <c r="J17" s="44">
        <f>RANK(I17,$I$16:$I$22,0)+COUNTIF($I17:I$22,I17)-1</f>
        <v>1</v>
      </c>
      <c r="L17" s="28">
        <v>2</v>
      </c>
      <c r="N17" s="9" t="str">
        <f t="shared" ref="N17:N22" si="10">INDEX($A$16:$A$22,MATCH(L17,$J$16:$J$22,0))</f>
        <v xml:space="preserve">Datorii comerciale </v>
      </c>
      <c r="O17" s="9"/>
      <c r="P17" s="9"/>
      <c r="Q17" s="47">
        <f t="shared" ref="Q17:Q22" si="11">SUMIF($A$16:$A$22,N17,$I$16:$I$22)</f>
        <v>27024480</v>
      </c>
      <c r="R17" s="48">
        <f t="shared" ref="R17:R22" si="12">Q17/$Q$23</f>
        <v>0.33065984554994371</v>
      </c>
      <c r="AA17" s="20">
        <f t="shared" si="5"/>
        <v>15</v>
      </c>
      <c r="AB17" s="31" t="s">
        <v>76</v>
      </c>
      <c r="AC17" s="36" t="s">
        <v>10</v>
      </c>
      <c r="AD17" s="20" t="str">
        <f>IF(AB17=Grafice!$F$20,HiddenPage!AA17,"")</f>
        <v/>
      </c>
      <c r="AE17" s="20" t="e">
        <f>SMALL($AD$3:$AD$26,ROWS($AD$3:AD17))</f>
        <v>#NUM!</v>
      </c>
      <c r="AF17" s="20" t="str">
        <f t="shared" si="4"/>
        <v/>
      </c>
    </row>
    <row r="18" spans="1:32" x14ac:dyDescent="0.25">
      <c r="A18" s="23" t="str">
        <f t="shared" si="8"/>
        <v>Alte datorii nefinanciare curente</v>
      </c>
      <c r="B18" s="25">
        <f>SUMIF('1.Pozitia Financiara'!$A:$A,$A18,'1.Pozitia Financiara'!B:B)</f>
        <v>2949925.8099999996</v>
      </c>
      <c r="C18" s="25">
        <f>SUMIF('1.Pozitia Financiara'!$A:$A,$A18,'1.Pozitia Financiara'!C:C)</f>
        <v>2118108.0299999998</v>
      </c>
      <c r="D18" s="25">
        <f>SUMIF('1.Pozitia Financiara'!$A:$A,$A18,'1.Pozitia Financiara'!D:D)</f>
        <v>2546342</v>
      </c>
      <c r="E18" s="25">
        <f>SUMIF('1.Pozitia Financiara'!$A:$A,$A18,'1.Pozitia Financiara'!E:E)</f>
        <v>3509280</v>
      </c>
      <c r="F18" s="25">
        <f>SUMIF('1.Pozitia Financiara'!$A:$A,$A18,'1.Pozitia Financiara'!F:F)</f>
        <v>4013630</v>
      </c>
      <c r="G18" s="25">
        <f>SUMIF('1.Pozitia Financiara'!$A:$A,$A18,'1.Pozitia Financiara'!G:G)</f>
        <v>3334773</v>
      </c>
      <c r="H18" s="25">
        <f>SUMIF('1.Pozitia Financiara'!$A:$A,$A18,'1.Pozitia Financiara'!H:H)</f>
        <v>3211607</v>
      </c>
      <c r="I18" s="25">
        <f t="shared" si="9"/>
        <v>3211607</v>
      </c>
      <c r="J18" s="44">
        <f>RANK(I18,$I$16:$I$22,0)+COUNTIF($I18:I$22,I18)-1</f>
        <v>3</v>
      </c>
      <c r="L18" s="28">
        <v>3</v>
      </c>
      <c r="N18" s="9" t="str">
        <f t="shared" si="10"/>
        <v>Alte datorii nefinanciare curente</v>
      </c>
      <c r="O18" s="9"/>
      <c r="P18" s="9"/>
      <c r="Q18" s="47">
        <f t="shared" si="11"/>
        <v>3211607</v>
      </c>
      <c r="R18" s="48">
        <f t="shared" si="12"/>
        <v>3.92958337991006E-2</v>
      </c>
      <c r="AA18" s="20">
        <f t="shared" si="5"/>
        <v>16</v>
      </c>
      <c r="AB18" s="31" t="s">
        <v>80</v>
      </c>
      <c r="AC18" s="20" t="s">
        <v>141</v>
      </c>
      <c r="AD18" s="20" t="str">
        <f>IF(AB18=Grafice!$F$20,HiddenPage!AA18,"")</f>
        <v/>
      </c>
      <c r="AE18" s="20" t="e">
        <f>SMALL($AD$3:$AD$26,ROWS($AD$3:AD18))</f>
        <v>#NUM!</v>
      </c>
      <c r="AF18" s="20" t="str">
        <f t="shared" si="4"/>
        <v/>
      </c>
    </row>
    <row r="19" spans="1:32" x14ac:dyDescent="0.25">
      <c r="A19" s="23" t="str">
        <f t="shared" si="8"/>
        <v>Subventii pe termen scurt</v>
      </c>
      <c r="B19" s="25">
        <f>SUMIF('1.Pozitia Financiara'!$A:$A,$A19,'1.Pozitia Financiara'!B:B)</f>
        <v>2262702</v>
      </c>
      <c r="C19" s="25">
        <f>SUMIF('1.Pozitia Financiara'!$A:$A,$A19,'1.Pozitia Financiara'!C:C)</f>
        <v>2259451</v>
      </c>
      <c r="D19" s="25">
        <f>SUMIF('1.Pozitia Financiara'!$A:$A,$A19,'1.Pozitia Financiara'!D:D)</f>
        <v>2259451</v>
      </c>
      <c r="E19" s="25">
        <f>SUMIF('1.Pozitia Financiara'!$A:$A,$A19,'1.Pozitia Financiara'!E:E)</f>
        <v>2113978</v>
      </c>
      <c r="F19" s="25">
        <f>SUMIF('1.Pozitia Financiara'!$A:$A,$A19,'1.Pozitia Financiara'!F:F)</f>
        <v>2113978</v>
      </c>
      <c r="G19" s="25">
        <f>SUMIF('1.Pozitia Financiara'!$A:$A,$A19,'1.Pozitia Financiara'!G:G)</f>
        <v>1535442</v>
      </c>
      <c r="H19" s="25">
        <f>SUMIF('1.Pozitia Financiara'!$A:$A,$A19,'1.Pozitia Financiara'!H:H)</f>
        <v>1535442</v>
      </c>
      <c r="I19" s="25">
        <f>SUMPRODUCT($B$14:$H$14,B19:H19)</f>
        <v>1535442</v>
      </c>
      <c r="J19" s="44">
        <f>RANK(I19,$I$16:$I$22,0)+COUNTIF($I19:I$22,I19)-1</f>
        <v>4</v>
      </c>
      <c r="L19" s="28">
        <v>4</v>
      </c>
      <c r="N19" s="9" t="str">
        <f t="shared" si="10"/>
        <v>Subventii pe termen scurt</v>
      </c>
      <c r="O19" s="9"/>
      <c r="P19" s="9"/>
      <c r="Q19" s="47">
        <f>SUMIF($A$16:$A$22,N19,$I$16:$I$22)</f>
        <v>1535442</v>
      </c>
      <c r="R19" s="48">
        <f t="shared" si="12"/>
        <v>1.8787004026382625E-2</v>
      </c>
      <c r="AA19" s="20">
        <f t="shared" si="5"/>
        <v>17</v>
      </c>
      <c r="AB19" s="31" t="s">
        <v>80</v>
      </c>
      <c r="AC19" s="20" t="s">
        <v>142</v>
      </c>
      <c r="AD19" s="20" t="str">
        <f>IF(AB19=Grafice!$F$20,HiddenPage!AA19,"")</f>
        <v/>
      </c>
      <c r="AE19" s="20" t="e">
        <f>SMALL($AD$3:$AD$26,ROWS($AD$3:AD19))</f>
        <v>#NUM!</v>
      </c>
      <c r="AF19" s="20" t="str">
        <f t="shared" si="4"/>
        <v/>
      </c>
    </row>
    <row r="20" spans="1:32" x14ac:dyDescent="0.25">
      <c r="A20" s="23" t="str">
        <f t="shared" si="8"/>
        <v/>
      </c>
      <c r="B20" s="25">
        <f>SUMIF('1.Pozitia Financiara'!$A:$A,$A20,'1.Pozitia Financiara'!B:B)</f>
        <v>0</v>
      </c>
      <c r="C20" s="25">
        <f>SUMIF('1.Pozitia Financiara'!$A:$A,$A20,'1.Pozitia Financiara'!C:C)</f>
        <v>0</v>
      </c>
      <c r="D20" s="25">
        <f>SUMIF('1.Pozitia Financiara'!$A:$A,$A20,'1.Pozitia Financiara'!D:D)</f>
        <v>0</v>
      </c>
      <c r="E20" s="25">
        <f>SUMIF('1.Pozitia Financiara'!$A:$A,$A20,'1.Pozitia Financiara'!E:E)</f>
        <v>0</v>
      </c>
      <c r="F20" s="25">
        <f>SUMIF('1.Pozitia Financiara'!$A:$A,$A20,'1.Pozitia Financiara'!F:F)</f>
        <v>0</v>
      </c>
      <c r="G20" s="25">
        <f>SUMIF('1.Pozitia Financiara'!$A:$A,$A20,'1.Pozitia Financiara'!G:G)</f>
        <v>0</v>
      </c>
      <c r="H20" s="25">
        <f>SUMIF('1.Pozitia Financiara'!$A:$A,$A20,'1.Pozitia Financiara'!H:H)</f>
        <v>0</v>
      </c>
      <c r="I20" s="25">
        <f t="shared" si="9"/>
        <v>0</v>
      </c>
      <c r="J20" s="44">
        <f>RANK(I20,$I$16:$I$22,0)+COUNTIF($I20:I$22,I20)-1</f>
        <v>7</v>
      </c>
      <c r="L20" s="28">
        <v>5</v>
      </c>
      <c r="N20" s="9" t="str">
        <f t="shared" si="10"/>
        <v/>
      </c>
      <c r="O20" s="9"/>
      <c r="P20" s="9"/>
      <c r="Q20" s="47">
        <f t="shared" si="11"/>
        <v>0</v>
      </c>
      <c r="R20" s="48">
        <f t="shared" si="12"/>
        <v>0</v>
      </c>
      <c r="AA20" s="20">
        <f t="shared" si="5"/>
        <v>18</v>
      </c>
      <c r="AB20" s="31" t="s">
        <v>80</v>
      </c>
      <c r="AC20" s="20" t="s">
        <v>143</v>
      </c>
      <c r="AD20" s="20" t="str">
        <f>IF(AB20=Grafice!$F$20,HiddenPage!AA20,"")</f>
        <v/>
      </c>
      <c r="AE20" s="20" t="e">
        <f>SMALL($AD$3:$AD$26,ROWS($AD$3:AD20))</f>
        <v>#NUM!</v>
      </c>
      <c r="AF20" s="20" t="str">
        <f t="shared" si="4"/>
        <v/>
      </c>
    </row>
    <row r="21" spans="1:32" x14ac:dyDescent="0.25">
      <c r="A21" s="23" t="str">
        <f t="shared" si="8"/>
        <v/>
      </c>
      <c r="B21" s="25">
        <f>SUMIF('1.Pozitia Financiara'!$A:$A,$A21,'1.Pozitia Financiara'!B:B)</f>
        <v>0</v>
      </c>
      <c r="C21" s="25">
        <f>SUMIF('1.Pozitia Financiara'!$A:$A,$A21,'1.Pozitia Financiara'!C:C)</f>
        <v>0</v>
      </c>
      <c r="D21" s="25">
        <f>SUMIF('1.Pozitia Financiara'!$A:$A,$A21,'1.Pozitia Financiara'!D:D)</f>
        <v>0</v>
      </c>
      <c r="E21" s="25">
        <f>SUMIF('1.Pozitia Financiara'!$A:$A,$A21,'1.Pozitia Financiara'!E:E)</f>
        <v>0</v>
      </c>
      <c r="F21" s="25">
        <f>SUMIF('1.Pozitia Financiara'!$A:$A,$A21,'1.Pozitia Financiara'!F:F)</f>
        <v>0</v>
      </c>
      <c r="G21" s="25">
        <f>SUMIF('1.Pozitia Financiara'!$A:$A,$A21,'1.Pozitia Financiara'!G:G)</f>
        <v>0</v>
      </c>
      <c r="H21" s="25">
        <f>SUMIF('1.Pozitia Financiara'!$A:$A,$A21,'1.Pozitia Financiara'!H:H)</f>
        <v>0</v>
      </c>
      <c r="I21" s="25">
        <f t="shared" si="9"/>
        <v>0</v>
      </c>
      <c r="J21" s="44">
        <f>RANK(I21,$I$16:$I$22,0)+COUNTIF($I21:I$22,I21)-1</f>
        <v>6</v>
      </c>
      <c r="L21" s="28">
        <v>6</v>
      </c>
      <c r="N21" s="9" t="str">
        <f t="shared" si="10"/>
        <v/>
      </c>
      <c r="O21" s="9"/>
      <c r="P21" s="9"/>
      <c r="Q21" s="47">
        <f t="shared" si="11"/>
        <v>0</v>
      </c>
      <c r="R21" s="48">
        <f t="shared" si="12"/>
        <v>0</v>
      </c>
      <c r="AA21" s="20">
        <f t="shared" si="5"/>
        <v>19</v>
      </c>
      <c r="AB21" s="31" t="s">
        <v>80</v>
      </c>
      <c r="AC21" s="36" t="s">
        <v>144</v>
      </c>
      <c r="AD21" s="20" t="str">
        <f>IF(AB21=Grafice!$F$20,HiddenPage!AA21,"")</f>
        <v/>
      </c>
      <c r="AE21" s="20" t="e">
        <f>SMALL($AD$3:$AD$26,ROWS($AD$3:AD21))</f>
        <v>#NUM!</v>
      </c>
      <c r="AF21" s="20" t="str">
        <f t="shared" si="4"/>
        <v/>
      </c>
    </row>
    <row r="22" spans="1:32" x14ac:dyDescent="0.25">
      <c r="A22" s="23" t="str">
        <f t="shared" si="8"/>
        <v/>
      </c>
      <c r="B22" s="25">
        <f>SUMIF('1.Pozitia Financiara'!$A:$A,$A22,'1.Pozitia Financiara'!B:B)</f>
        <v>0</v>
      </c>
      <c r="C22" s="25">
        <f>SUMIF('1.Pozitia Financiara'!$A:$A,$A22,'1.Pozitia Financiara'!C:C)</f>
        <v>0</v>
      </c>
      <c r="D22" s="25">
        <f>SUMIF('1.Pozitia Financiara'!$A:$A,$A22,'1.Pozitia Financiara'!D:D)</f>
        <v>0</v>
      </c>
      <c r="E22" s="25">
        <f>SUMIF('1.Pozitia Financiara'!$A:$A,$A22,'1.Pozitia Financiara'!E:E)</f>
        <v>0</v>
      </c>
      <c r="F22" s="25">
        <f>SUMIF('1.Pozitia Financiara'!$A:$A,$A22,'1.Pozitia Financiara'!F:F)</f>
        <v>0</v>
      </c>
      <c r="G22" s="25">
        <f>SUMIF('1.Pozitia Financiara'!$A:$A,$A22,'1.Pozitia Financiara'!G:G)</f>
        <v>0</v>
      </c>
      <c r="H22" s="25">
        <f>SUMIF('1.Pozitia Financiara'!$A:$A,$A22,'1.Pozitia Financiara'!H:H)</f>
        <v>0</v>
      </c>
      <c r="I22" s="25">
        <f t="shared" si="9"/>
        <v>0</v>
      </c>
      <c r="J22" s="44">
        <f>RANK(I22,$I$16:$I$22,0)+COUNTIF($I22:I$22,I22)-1</f>
        <v>5</v>
      </c>
      <c r="L22" s="28">
        <v>7</v>
      </c>
      <c r="N22" s="9" t="str">
        <f t="shared" si="10"/>
        <v/>
      </c>
      <c r="O22" s="9"/>
      <c r="P22" s="9"/>
      <c r="Q22" s="47">
        <f t="shared" si="11"/>
        <v>0</v>
      </c>
      <c r="R22" s="48">
        <f t="shared" si="12"/>
        <v>0</v>
      </c>
      <c r="AA22" s="20">
        <f t="shared" si="5"/>
        <v>20</v>
      </c>
      <c r="AB22" s="31" t="s">
        <v>81</v>
      </c>
      <c r="AC22" s="20" t="s">
        <v>145</v>
      </c>
      <c r="AD22" s="20">
        <f>IF(AB22=Grafice!$F$20,HiddenPage!AA22,"")</f>
        <v>20</v>
      </c>
      <c r="AE22" s="20" t="e">
        <f>SMALL($AD$3:$AD$26,ROWS($AD$3:AD22))</f>
        <v>#NUM!</v>
      </c>
      <c r="AF22" s="20" t="str">
        <f t="shared" si="4"/>
        <v/>
      </c>
    </row>
    <row r="23" spans="1:32" x14ac:dyDescent="0.25">
      <c r="A23" s="20" t="str">
        <f>Grafice!T20</f>
        <v>Total activ</v>
      </c>
      <c r="D23" s="20" t="str">
        <f>"Evolutia indicatorului "&amp;A23&amp;" in perioada 2019-2025"</f>
        <v>Evolutia indicatorului Total activ in perioada 2019-2025</v>
      </c>
      <c r="N23" s="9" t="str">
        <f>"Total  : "&amp;TEXT(Q23,"#,##0;[Red]-#,##0")&amp;" lei"</f>
        <v>Total  : 81,728,944 lei</v>
      </c>
      <c r="O23" s="9"/>
      <c r="P23" s="9"/>
      <c r="Q23" s="49">
        <f>SUM(Q16:Q22)</f>
        <v>81728944</v>
      </c>
      <c r="R23" s="9"/>
      <c r="AA23" s="20">
        <f t="shared" si="5"/>
        <v>21</v>
      </c>
      <c r="AB23" s="31" t="s">
        <v>81</v>
      </c>
      <c r="AC23" s="20" t="s">
        <v>146</v>
      </c>
      <c r="AD23" s="20">
        <f>IF(AB23=Grafice!$F$20,HiddenPage!AA23,"")</f>
        <v>21</v>
      </c>
      <c r="AE23" s="20" t="e">
        <f>SMALL($AD$3:$AD$26,ROWS($AD$3:AD23))</f>
        <v>#NUM!</v>
      </c>
    </row>
    <row r="24" spans="1:32" x14ac:dyDescent="0.25">
      <c r="A24" s="20">
        <v>2016</v>
      </c>
      <c r="B24" s="25">
        <f>SUMIF('1.Pozitia Financiara'!$A:$A,HiddenPage!$A$23,'1.Pozitia Financiara'!B:B)</f>
        <v>246194905.51999998</v>
      </c>
      <c r="C24" s="24"/>
      <c r="D24" s="26"/>
      <c r="E24" s="24"/>
      <c r="F24" s="24"/>
      <c r="G24" s="24"/>
      <c r="AA24" s="20">
        <f t="shared" si="5"/>
        <v>22</v>
      </c>
      <c r="AB24" s="31" t="s">
        <v>81</v>
      </c>
      <c r="AC24" s="36" t="s">
        <v>147</v>
      </c>
      <c r="AD24" s="20">
        <f>IF(AB24=Grafice!$F$20,HiddenPage!AA24,"")</f>
        <v>22</v>
      </c>
      <c r="AE24" s="20" t="e">
        <f>SMALL($AD$3:$AD$26,ROWS($AD$3:AD24))</f>
        <v>#NUM!</v>
      </c>
    </row>
    <row r="25" spans="1:32" x14ac:dyDescent="0.25">
      <c r="A25" s="20">
        <f>A24+1</f>
        <v>2017</v>
      </c>
      <c r="B25" s="25">
        <f>SUMIF('1.Pozitia Financiara'!$A:$A,HiddenPage!$A$23,'1.Pozitia Financiara'!C:C)</f>
        <v>231354180.93000001</v>
      </c>
      <c r="C25" s="25"/>
      <c r="D25" s="26"/>
      <c r="E25" s="25"/>
      <c r="F25" s="25"/>
      <c r="G25" s="25"/>
      <c r="AA25" s="20">
        <f t="shared" si="5"/>
        <v>23</v>
      </c>
      <c r="AB25" s="31" t="s">
        <v>80</v>
      </c>
      <c r="AC25" s="20" t="s">
        <v>174</v>
      </c>
      <c r="AD25" s="20" t="str">
        <f>IF(AB25=Grafice!$F$20,HiddenPage!AA25,"")</f>
        <v/>
      </c>
      <c r="AE25" s="20" t="e">
        <f>SMALL($AD$3:$AD$26,ROWS($AD$3:AD25))</f>
        <v>#NUM!</v>
      </c>
    </row>
    <row r="26" spans="1:32" x14ac:dyDescent="0.25">
      <c r="A26" s="20">
        <f t="shared" ref="A26:A30" si="13">A25+1</f>
        <v>2018</v>
      </c>
      <c r="B26" s="32">
        <f>SUMIF('1.Pozitia Financiara'!$A:$A,HiddenPage!$A$23,'1.Pozitia Financiara'!D:D)</f>
        <v>244022870</v>
      </c>
      <c r="C26" s="25"/>
      <c r="D26" s="26"/>
      <c r="E26" s="25"/>
      <c r="F26" s="25"/>
      <c r="G26" s="25"/>
      <c r="AA26" s="20">
        <f t="shared" si="5"/>
        <v>24</v>
      </c>
      <c r="AB26" s="31" t="s">
        <v>81</v>
      </c>
      <c r="AC26" s="36" t="s">
        <v>175</v>
      </c>
      <c r="AD26" s="20">
        <f>IF(AB26=Grafice!$F$20,HiddenPage!AA26,"")</f>
        <v>24</v>
      </c>
      <c r="AE26" s="20" t="e">
        <f>SMALL($AD$3:$AD$26,ROWS($AD$3:AD26))</f>
        <v>#NUM!</v>
      </c>
    </row>
    <row r="27" spans="1:32" x14ac:dyDescent="0.25">
      <c r="A27" s="20">
        <f t="shared" si="13"/>
        <v>2019</v>
      </c>
      <c r="B27" s="25">
        <f>SUMIF('1.Pozitia Financiara'!$A:$A,HiddenPage!$A$23,'1.Pozitia Financiara'!E:E)</f>
        <v>280067418</v>
      </c>
      <c r="C27" s="25"/>
      <c r="D27" s="26"/>
      <c r="E27" s="25"/>
      <c r="F27" s="25"/>
      <c r="G27" s="25"/>
      <c r="AA27" s="20">
        <f t="shared" si="5"/>
        <v>25</v>
      </c>
      <c r="AB27" s="31"/>
    </row>
    <row r="28" spans="1:32" x14ac:dyDescent="0.25">
      <c r="A28" s="20">
        <f t="shared" si="13"/>
        <v>2020</v>
      </c>
      <c r="B28" s="25">
        <f>SUMIF('1.Pozitia Financiara'!$A:$A,HiddenPage!$A$23,'1.Pozitia Financiara'!F:F)</f>
        <v>241134252</v>
      </c>
      <c r="C28" s="25"/>
      <c r="D28" s="26"/>
      <c r="E28" s="25"/>
      <c r="F28" s="25"/>
      <c r="G28" s="25"/>
    </row>
    <row r="29" spans="1:32" x14ac:dyDescent="0.25">
      <c r="A29" s="20">
        <f t="shared" si="13"/>
        <v>2021</v>
      </c>
      <c r="B29" s="25">
        <f>SUMIF('1.Pozitia Financiara'!$A:$A,HiddenPage!$A$23,'1.Pozitia Financiara'!G:G)</f>
        <v>236984161</v>
      </c>
      <c r="C29" s="25"/>
      <c r="D29" s="26"/>
      <c r="E29" s="25"/>
      <c r="F29" s="25"/>
      <c r="G29" s="25"/>
    </row>
    <row r="30" spans="1:32" x14ac:dyDescent="0.25">
      <c r="A30" s="20">
        <f t="shared" si="13"/>
        <v>2022</v>
      </c>
      <c r="B30" s="25">
        <f>SUMIF('1.Pozitia Financiara'!$A:$A,HiddenPage!$A$23,'1.Pozitia Financiara'!H:H)</f>
        <v>239172373</v>
      </c>
    </row>
    <row r="31" spans="1:32" x14ac:dyDescent="0.25">
      <c r="B31" s="25"/>
    </row>
    <row r="32" spans="1:32" x14ac:dyDescent="0.25">
      <c r="B32" s="29" t="s">
        <v>67</v>
      </c>
      <c r="C32" s="29" t="s">
        <v>68</v>
      </c>
      <c r="D32" s="29" t="s">
        <v>69</v>
      </c>
      <c r="E32" s="29" t="s">
        <v>70</v>
      </c>
      <c r="F32" s="29" t="s">
        <v>66</v>
      </c>
      <c r="G32" s="29" t="s">
        <v>71</v>
      </c>
    </row>
    <row r="33" spans="1:8" x14ac:dyDescent="0.25">
      <c r="A33" s="35"/>
      <c r="B33" s="34"/>
      <c r="D33" s="27"/>
      <c r="E33" s="27"/>
      <c r="F33" s="30">
        <f>B24</f>
        <v>246194905.51999998</v>
      </c>
      <c r="G33" s="30">
        <f>F33</f>
        <v>246194905.51999998</v>
      </c>
    </row>
    <row r="34" spans="1:8" x14ac:dyDescent="0.25">
      <c r="A34" s="35">
        <v>2020</v>
      </c>
      <c r="B34" s="34">
        <f>SUM(B33,E33:F33)-D34</f>
        <v>231354180.93000001</v>
      </c>
      <c r="D34" s="27">
        <f t="shared" ref="D34:D35" si="14">IF(G34&lt;0,-G34,0)</f>
        <v>14840724.589999974</v>
      </c>
      <c r="E34" s="27">
        <f t="shared" ref="E34:E35" si="15">IF(G34&gt;0,G34,0)</f>
        <v>0</v>
      </c>
      <c r="F34" s="30"/>
      <c r="G34" s="30">
        <f>B25-B24</f>
        <v>-14840724.589999974</v>
      </c>
    </row>
    <row r="35" spans="1:8" x14ac:dyDescent="0.25">
      <c r="A35" s="35">
        <f>A34+1</f>
        <v>2021</v>
      </c>
      <c r="B35" s="34">
        <f t="shared" ref="B35:B39" si="16">SUM(B34,E34:F34)-D35</f>
        <v>231354180.93000001</v>
      </c>
      <c r="D35" s="27">
        <f t="shared" si="14"/>
        <v>0</v>
      </c>
      <c r="E35" s="27">
        <f t="shared" si="15"/>
        <v>12668689.069999993</v>
      </c>
      <c r="F35" s="30"/>
      <c r="G35" s="30">
        <f t="shared" ref="G35:G39" si="17">B26-B25</f>
        <v>12668689.069999993</v>
      </c>
    </row>
    <row r="36" spans="1:8" x14ac:dyDescent="0.25">
      <c r="A36" s="35">
        <f t="shared" ref="A36:A39" si="18">A35+1</f>
        <v>2022</v>
      </c>
      <c r="B36" s="34">
        <f t="shared" si="16"/>
        <v>244022870</v>
      </c>
      <c r="C36" s="27"/>
      <c r="D36" s="27">
        <f>IF(G36&lt;0,-G36,0)</f>
        <v>0</v>
      </c>
      <c r="E36" s="27">
        <f>IF(G36&gt;0,G36,0)</f>
        <v>36044548</v>
      </c>
      <c r="G36" s="30">
        <f t="shared" si="17"/>
        <v>36044548</v>
      </c>
    </row>
    <row r="37" spans="1:8" x14ac:dyDescent="0.25">
      <c r="A37" s="35">
        <f t="shared" si="18"/>
        <v>2023</v>
      </c>
      <c r="B37" s="34">
        <f t="shared" si="16"/>
        <v>241134252</v>
      </c>
      <c r="C37" s="27"/>
      <c r="D37" s="27">
        <f>IF(G37&lt;0,-G37,0)</f>
        <v>38933166</v>
      </c>
      <c r="E37" s="27">
        <f>IF(G37&gt;0,G37,0)</f>
        <v>0</v>
      </c>
      <c r="G37" s="30">
        <f t="shared" si="17"/>
        <v>-38933166</v>
      </c>
    </row>
    <row r="38" spans="1:8" x14ac:dyDescent="0.25">
      <c r="A38" s="35">
        <f t="shared" si="18"/>
        <v>2024</v>
      </c>
      <c r="B38" s="34">
        <f t="shared" si="16"/>
        <v>236984161</v>
      </c>
      <c r="C38" s="27"/>
      <c r="D38" s="27">
        <f>IF(G38&lt;0,-G38,0)</f>
        <v>4150091</v>
      </c>
      <c r="E38" s="27">
        <f>IF(G38&gt;0,G38,0)</f>
        <v>0</v>
      </c>
      <c r="G38" s="30">
        <f t="shared" si="17"/>
        <v>-4150091</v>
      </c>
    </row>
    <row r="39" spans="1:8" x14ac:dyDescent="0.25">
      <c r="A39" s="35">
        <f t="shared" si="18"/>
        <v>2025</v>
      </c>
      <c r="B39" s="34">
        <f t="shared" si="16"/>
        <v>236984161</v>
      </c>
      <c r="C39" s="27"/>
      <c r="D39" s="27">
        <f>IF(G39&lt;0,-G39,0)</f>
        <v>0</v>
      </c>
      <c r="E39" s="27">
        <f>IF(G39&gt;0,G39,0)</f>
        <v>2188212</v>
      </c>
      <c r="G39" s="30">
        <f t="shared" si="17"/>
        <v>2188212</v>
      </c>
    </row>
    <row r="40" spans="1:8" x14ac:dyDescent="0.25">
      <c r="A40" s="33"/>
      <c r="B40" s="27"/>
      <c r="C40" s="34">
        <f>SUM(B39,E39:F39)-D40</f>
        <v>239172373</v>
      </c>
      <c r="D40" s="27"/>
      <c r="E40" s="27"/>
      <c r="G40" s="30"/>
    </row>
    <row r="44" spans="1:8" x14ac:dyDescent="0.25">
      <c r="B44" s="24">
        <f>B3</f>
        <v>2019</v>
      </c>
      <c r="C44" s="24">
        <f t="shared" ref="C44:H44" si="19">C3</f>
        <v>2020</v>
      </c>
      <c r="D44" s="24">
        <f t="shared" si="19"/>
        <v>2021</v>
      </c>
      <c r="E44" s="24">
        <f t="shared" si="19"/>
        <v>2022</v>
      </c>
      <c r="F44" s="24">
        <f t="shared" si="19"/>
        <v>2023</v>
      </c>
      <c r="G44" s="24">
        <f t="shared" si="19"/>
        <v>2024</v>
      </c>
      <c r="H44" s="24">
        <f t="shared" si="19"/>
        <v>2025</v>
      </c>
    </row>
    <row r="45" spans="1:8" x14ac:dyDescent="0.25">
      <c r="A45" s="23" t="str">
        <f>U3</f>
        <v>Active pe termen lung</v>
      </c>
      <c r="B45" s="25">
        <f>SUMIF('1.Pozitia Financiara'!$A:$A,$A45,'1.Pozitia Financiara'!B:B)</f>
        <v>163480244.93000001</v>
      </c>
      <c r="C45" s="25">
        <f>SUMIF('1.Pozitia Financiara'!$A:$A,$A45,'1.Pozitia Financiara'!C:C)</f>
        <v>152917931.06</v>
      </c>
      <c r="D45" s="25">
        <f>SUMIF('1.Pozitia Financiara'!$A:$A,$A45,'1.Pozitia Financiara'!D:D)</f>
        <v>138364502</v>
      </c>
      <c r="E45" s="25">
        <f>SUMIF('1.Pozitia Financiara'!$A:$A,$A45,'1.Pozitia Financiara'!E:E)</f>
        <v>133313885</v>
      </c>
      <c r="F45" s="25">
        <f>SUMIF('1.Pozitia Financiara'!$A:$A,$A45,'1.Pozitia Financiara'!F:F)</f>
        <v>118936705</v>
      </c>
      <c r="G45" s="25">
        <f>SUMIF('1.Pozitia Financiara'!$A:$A,$A45,'1.Pozitia Financiara'!G:G)</f>
        <v>126388533</v>
      </c>
      <c r="H45" s="25">
        <f>SUMIF('1.Pozitia Financiara'!$A:$A,$A45,'1.Pozitia Financiara'!H:H)</f>
        <v>129078789</v>
      </c>
    </row>
    <row r="46" spans="1:8" x14ac:dyDescent="0.25">
      <c r="A46" s="23" t="str">
        <f>U4</f>
        <v>Active curente</v>
      </c>
      <c r="B46" s="25">
        <f>SUMIF('1.Pozitia Financiara'!$A:$A,$A46,'1.Pozitia Financiara'!B:B)</f>
        <v>82714660.589999989</v>
      </c>
      <c r="C46" s="25">
        <f>SUMIF('1.Pozitia Financiara'!$A:$A,$A46,'1.Pozitia Financiara'!C:C)</f>
        <v>78436249.86999999</v>
      </c>
      <c r="D46" s="25">
        <f>SUMIF('1.Pozitia Financiara'!$A:$A,$A46,'1.Pozitia Financiara'!D:D)</f>
        <v>105658368</v>
      </c>
      <c r="E46" s="25">
        <f>SUMIF('1.Pozitia Financiara'!$A:$A,$A46,'1.Pozitia Financiara'!E:E)</f>
        <v>146753533</v>
      </c>
      <c r="F46" s="25">
        <f>SUMIF('1.Pozitia Financiara'!$A:$A,$A46,'1.Pozitia Financiara'!F:F)</f>
        <v>122197547</v>
      </c>
      <c r="G46" s="25">
        <f>SUMIF('1.Pozitia Financiara'!$A:$A,$A46,'1.Pozitia Financiara'!G:G)</f>
        <v>110595628</v>
      </c>
      <c r="H46" s="25">
        <f>SUMIF('1.Pozitia Financiara'!$A:$A,$A46,'1.Pozitia Financiara'!H:H)</f>
        <v>110093584</v>
      </c>
    </row>
    <row r="47" spans="1:8" x14ac:dyDescent="0.25">
      <c r="B47" s="30">
        <f>B45+B46</f>
        <v>246194905.51999998</v>
      </c>
      <c r="C47" s="30">
        <f t="shared" ref="C47:H47" si="20">C45+C46</f>
        <v>231354180.93000001</v>
      </c>
      <c r="D47" s="30">
        <f t="shared" si="20"/>
        <v>244022870</v>
      </c>
      <c r="E47" s="30">
        <f t="shared" si="20"/>
        <v>280067418</v>
      </c>
      <c r="F47" s="30">
        <f t="shared" si="20"/>
        <v>241134252</v>
      </c>
      <c r="G47" s="30">
        <f t="shared" si="20"/>
        <v>236984161</v>
      </c>
      <c r="H47" s="30">
        <f t="shared" si="20"/>
        <v>239172373</v>
      </c>
    </row>
    <row r="51" spans="1:24" s="36" customFormat="1" x14ac:dyDescent="0.25">
      <c r="B51" s="36">
        <f>IF('2.Sit. Rezultatului global'!$W$24=B52,1,0)</f>
        <v>0</v>
      </c>
      <c r="C51" s="36">
        <f>IF('2.Sit. Rezultatului global'!$W$24=C52,1,0)</f>
        <v>0</v>
      </c>
      <c r="D51" s="36">
        <f>IF('2.Sit. Rezultatului global'!$W$24=D52,1,0)</f>
        <v>0</v>
      </c>
      <c r="E51" s="36">
        <f>IF('2.Sit. Rezultatului global'!$W$24=E52,1,0)</f>
        <v>0</v>
      </c>
      <c r="F51" s="36">
        <f>IF('2.Sit. Rezultatului global'!$W$24=F52,1,0)</f>
        <v>0</v>
      </c>
      <c r="G51" s="36">
        <f>IF('2.Sit. Rezultatului global'!$W$24=G52,1,0)</f>
        <v>0</v>
      </c>
      <c r="H51" s="36">
        <f>IF('2.Sit. Rezultatului global'!$W$24=H52,1,0)</f>
        <v>0</v>
      </c>
      <c r="L51" s="28"/>
      <c r="N51" s="28"/>
      <c r="X51" s="28"/>
    </row>
    <row r="52" spans="1:24" s="36" customFormat="1" x14ac:dyDescent="0.25">
      <c r="A52" s="36" t="s">
        <v>101</v>
      </c>
      <c r="B52" s="43">
        <f>B3</f>
        <v>2019</v>
      </c>
      <c r="C52" s="43">
        <f t="shared" ref="C52:H52" si="21">C3</f>
        <v>2020</v>
      </c>
      <c r="D52" s="43">
        <f t="shared" si="21"/>
        <v>2021</v>
      </c>
      <c r="E52" s="43">
        <f t="shared" si="21"/>
        <v>2022</v>
      </c>
      <c r="F52" s="43">
        <f t="shared" si="21"/>
        <v>2023</v>
      </c>
      <c r="G52" s="43">
        <f t="shared" si="21"/>
        <v>2024</v>
      </c>
      <c r="H52" s="43">
        <f t="shared" si="21"/>
        <v>2025</v>
      </c>
      <c r="I52" s="36" t="s">
        <v>102</v>
      </c>
      <c r="J52" s="36" t="s">
        <v>103</v>
      </c>
      <c r="L52" s="28" t="s">
        <v>104</v>
      </c>
      <c r="N52" s="28" t="s">
        <v>105</v>
      </c>
      <c r="Q52" s="36" t="s">
        <v>106</v>
      </c>
      <c r="R52" s="36" t="s">
        <v>107</v>
      </c>
      <c r="X52" s="28"/>
    </row>
    <row r="53" spans="1:24" s="36" customFormat="1" x14ac:dyDescent="0.25">
      <c r="A53" s="9" t="s">
        <v>108</v>
      </c>
      <c r="B53" s="8"/>
      <c r="C53" s="8"/>
      <c r="D53" s="8"/>
      <c r="E53" s="8"/>
      <c r="F53" s="8"/>
      <c r="G53" s="8"/>
      <c r="H53" s="11"/>
      <c r="I53" s="42">
        <f>SUMPRODUCT($B$51:$H$51,B53:H53)</f>
        <v>0</v>
      </c>
      <c r="J53" s="44">
        <f>RANK(I53,$I$53:$I$59,0)+COUNTIF($I$53:I53,I53)-1</f>
        <v>1</v>
      </c>
      <c r="L53" s="28">
        <v>1</v>
      </c>
      <c r="N53" s="28" t="str">
        <f>INDEX($A$53:$A$59,MATCH(L53,$J$53:$J$59,0))</f>
        <v>CP1</v>
      </c>
      <c r="Q53" s="45">
        <f>SUMIF($A$53:$A$59,N53,$I$53:$I$59)</f>
        <v>0</v>
      </c>
      <c r="R53" s="46" t="e">
        <f>Q53/$Q$60</f>
        <v>#DIV/0!</v>
      </c>
      <c r="X53" s="28"/>
    </row>
    <row r="54" spans="1:24" s="36" customFormat="1" x14ac:dyDescent="0.25">
      <c r="A54" s="9" t="s">
        <v>109</v>
      </c>
      <c r="B54" s="8"/>
      <c r="C54" s="8"/>
      <c r="D54" s="8"/>
      <c r="E54" s="8"/>
      <c r="F54" s="8"/>
      <c r="G54" s="8"/>
      <c r="H54" s="11"/>
      <c r="I54" s="42">
        <f t="shared" ref="I54:I59" si="22">SUMPRODUCT($B$51:$H$51,B54:H54)</f>
        <v>0</v>
      </c>
      <c r="J54" s="44">
        <f>RANK(I54,$I$53:$I$59,0)+COUNTIF($I$53:I54,I54)-1</f>
        <v>2</v>
      </c>
      <c r="L54" s="28">
        <f>L53+1</f>
        <v>2</v>
      </c>
      <c r="N54" s="28" t="str">
        <f t="shared" ref="N54:N59" si="23">INDEX($A$53:$A$59,MATCH(L54,$J$53:$J$59,0))</f>
        <v>CP2</v>
      </c>
      <c r="Q54" s="45">
        <f t="shared" ref="Q54:Q59" si="24">SUMIF($A$53:$A$59,N54,$I$53:$I$59)</f>
        <v>0</v>
      </c>
      <c r="R54" s="46" t="e">
        <f t="shared" ref="R54:R59" si="25">Q54/$Q$60</f>
        <v>#DIV/0!</v>
      </c>
      <c r="X54" s="28"/>
    </row>
    <row r="55" spans="1:24" s="36" customFormat="1" x14ac:dyDescent="0.25">
      <c r="A55" s="9" t="s">
        <v>110</v>
      </c>
      <c r="B55" s="8"/>
      <c r="C55" s="8"/>
      <c r="D55" s="8"/>
      <c r="E55" s="8"/>
      <c r="F55" s="8"/>
      <c r="G55" s="8"/>
      <c r="H55" s="11"/>
      <c r="I55" s="42">
        <f t="shared" si="22"/>
        <v>0</v>
      </c>
      <c r="J55" s="44">
        <f>RANK(I55,$I$53:$I$59,0)+COUNTIF($I$53:I55,I55)-1</f>
        <v>3</v>
      </c>
      <c r="L55" s="28">
        <f t="shared" ref="L55:L59" si="26">L54+1</f>
        <v>3</v>
      </c>
      <c r="N55" s="28" t="str">
        <f t="shared" si="23"/>
        <v>CP3</v>
      </c>
      <c r="Q55" s="45">
        <f t="shared" si="24"/>
        <v>0</v>
      </c>
      <c r="R55" s="46" t="e">
        <f t="shared" si="25"/>
        <v>#DIV/0!</v>
      </c>
      <c r="X55" s="28"/>
    </row>
    <row r="56" spans="1:24" s="36" customFormat="1" x14ac:dyDescent="0.25">
      <c r="A56" s="9" t="s">
        <v>111</v>
      </c>
      <c r="B56" s="8"/>
      <c r="C56" s="8"/>
      <c r="D56" s="8"/>
      <c r="E56" s="8"/>
      <c r="F56" s="8"/>
      <c r="G56" s="8"/>
      <c r="H56" s="11"/>
      <c r="I56" s="42">
        <f t="shared" si="22"/>
        <v>0</v>
      </c>
      <c r="J56" s="44">
        <f>RANK(I56,$I$53:$I$59,0)+COUNTIF($I$53:I56,I56)-1</f>
        <v>4</v>
      </c>
      <c r="L56" s="28">
        <f t="shared" si="26"/>
        <v>4</v>
      </c>
      <c r="N56" s="28" t="str">
        <f t="shared" si="23"/>
        <v>CP4</v>
      </c>
      <c r="Q56" s="45">
        <f t="shared" si="24"/>
        <v>0</v>
      </c>
      <c r="R56" s="46" t="e">
        <f t="shared" si="25"/>
        <v>#DIV/0!</v>
      </c>
      <c r="X56" s="28"/>
    </row>
    <row r="57" spans="1:24" s="36" customFormat="1" x14ac:dyDescent="0.25">
      <c r="A57" s="9" t="s">
        <v>112</v>
      </c>
      <c r="B57" s="8"/>
      <c r="C57" s="8"/>
      <c r="D57" s="8"/>
      <c r="E57" s="8"/>
      <c r="F57" s="8"/>
      <c r="G57" s="8"/>
      <c r="H57" s="11"/>
      <c r="I57" s="42">
        <f t="shared" si="22"/>
        <v>0</v>
      </c>
      <c r="J57" s="44">
        <f>RANK(I57,$I$53:$I$59,0)+COUNTIF($I$53:I57,I57)-1</f>
        <v>5</v>
      </c>
      <c r="L57" s="28">
        <f t="shared" si="26"/>
        <v>5</v>
      </c>
      <c r="N57" s="28" t="str">
        <f t="shared" si="23"/>
        <v>CP5</v>
      </c>
      <c r="Q57" s="45">
        <f t="shared" si="24"/>
        <v>0</v>
      </c>
      <c r="R57" s="46" t="e">
        <f t="shared" si="25"/>
        <v>#DIV/0!</v>
      </c>
      <c r="X57" s="28"/>
    </row>
    <row r="58" spans="1:24" s="36" customFormat="1" x14ac:dyDescent="0.25">
      <c r="A58" s="9" t="s">
        <v>113</v>
      </c>
      <c r="B58" s="8"/>
      <c r="C58" s="8"/>
      <c r="D58" s="8"/>
      <c r="E58" s="8"/>
      <c r="F58" s="8"/>
      <c r="G58" s="8"/>
      <c r="H58" s="11"/>
      <c r="I58" s="42">
        <f t="shared" si="22"/>
        <v>0</v>
      </c>
      <c r="J58" s="44">
        <f>RANK(I58,$I$53:$I$59,0)+COUNTIF($I$53:I58,I58)-1</f>
        <v>6</v>
      </c>
      <c r="L58" s="28">
        <f t="shared" si="26"/>
        <v>6</v>
      </c>
      <c r="N58" s="28" t="str">
        <f t="shared" si="23"/>
        <v>CP6</v>
      </c>
      <c r="Q58" s="45">
        <f t="shared" si="24"/>
        <v>0</v>
      </c>
      <c r="R58" s="46" t="e">
        <f t="shared" si="25"/>
        <v>#DIV/0!</v>
      </c>
      <c r="X58" s="28"/>
    </row>
    <row r="59" spans="1:24" s="36" customFormat="1" x14ac:dyDescent="0.25">
      <c r="A59" s="9" t="s">
        <v>114</v>
      </c>
      <c r="B59" s="8"/>
      <c r="C59" s="8"/>
      <c r="D59" s="8"/>
      <c r="E59" s="8"/>
      <c r="F59" s="8"/>
      <c r="G59" s="8"/>
      <c r="H59" s="11"/>
      <c r="I59" s="42">
        <f t="shared" si="22"/>
        <v>0</v>
      </c>
      <c r="J59" s="44">
        <f>RANK(I59,$I$53:$I$59,0)+COUNTIF($I$53:I59,I59)-1</f>
        <v>7</v>
      </c>
      <c r="L59" s="28">
        <f t="shared" si="26"/>
        <v>7</v>
      </c>
      <c r="N59" s="28" t="str">
        <f t="shared" si="23"/>
        <v>CP7</v>
      </c>
      <c r="Q59" s="45">
        <f t="shared" si="24"/>
        <v>0</v>
      </c>
      <c r="R59" s="46" t="e">
        <f t="shared" si="25"/>
        <v>#DIV/0!</v>
      </c>
      <c r="X59" s="28"/>
    </row>
    <row r="60" spans="1:24" s="36" customFormat="1" x14ac:dyDescent="0.25">
      <c r="L60" s="28"/>
      <c r="N60" s="28"/>
      <c r="Q60" s="44">
        <f>SUM(Q53:Q59)</f>
        <v>0</v>
      </c>
      <c r="X60" s="28"/>
    </row>
    <row r="61" spans="1:24" s="36" customFormat="1" x14ac:dyDescent="0.25">
      <c r="L61" s="28"/>
      <c r="N61" s="28"/>
      <c r="X61" s="28"/>
    </row>
    <row r="62" spans="1:24" s="36" customFormat="1" x14ac:dyDescent="0.25">
      <c r="L62" s="28"/>
      <c r="N62" s="28"/>
      <c r="X62" s="28"/>
    </row>
    <row r="63" spans="1:24" s="36" customFormat="1" x14ac:dyDescent="0.25">
      <c r="A63" s="36" t="str">
        <f>"Evolutie vanzari sector """&amp;'2.Sit. Rezultatului global'!W34&amp;""""</f>
        <v>Evolutie vanzari sector "Polimeri reciclati si compounduri"</v>
      </c>
      <c r="L63" s="28"/>
      <c r="N63" s="28"/>
      <c r="Q63" s="36" t="str">
        <f>"Total Vanzari :"&amp;TEXT(Q60,"#,##0;[Red]-#,##0")</f>
        <v>Total Vanzari :0</v>
      </c>
      <c r="X63" s="28"/>
    </row>
    <row r="64" spans="1:24" s="36" customFormat="1" x14ac:dyDescent="0.25">
      <c r="L64" s="28"/>
      <c r="N64" s="28"/>
      <c r="X64" s="28"/>
    </row>
    <row r="65" spans="1:24" s="36" customFormat="1" x14ac:dyDescent="0.25">
      <c r="L65" s="28"/>
      <c r="N65" s="28"/>
      <c r="Q65" s="36" t="str">
        <f>"Vanzari de produse finite in "&amp;'2.Sit. Rezultatului global'!W24</f>
        <v xml:space="preserve">Vanzari de produse finite in </v>
      </c>
      <c r="X65" s="28"/>
    </row>
    <row r="66" spans="1:24" x14ac:dyDescent="0.25">
      <c r="A66" s="36" t="s">
        <v>101</v>
      </c>
      <c r="B66" s="20">
        <f>'2.Sit. Rezultatului global'!B36</f>
        <v>2019</v>
      </c>
      <c r="C66" s="20">
        <f>'2.Sit. Rezultatului global'!C36</f>
        <v>2020</v>
      </c>
      <c r="D66" s="20">
        <f>'2.Sit. Rezultatului global'!D36</f>
        <v>2021</v>
      </c>
      <c r="E66" s="20">
        <f>'2.Sit. Rezultatului global'!E36</f>
        <v>2022</v>
      </c>
      <c r="F66" s="20">
        <f>'2.Sit. Rezultatului global'!F36</f>
        <v>2023</v>
      </c>
      <c r="G66" s="20">
        <f>'2.Sit. Rezultatului global'!G36</f>
        <v>2024</v>
      </c>
      <c r="H66" s="20">
        <f>'2.Sit. Rezultatului global'!H36</f>
        <v>2025</v>
      </c>
    </row>
    <row r="67" spans="1:24" x14ac:dyDescent="0.25">
      <c r="A67" s="36" t="s">
        <v>128</v>
      </c>
      <c r="B67" s="56">
        <f>'2.Sit. Rezultatului global'!B37</f>
        <v>103347658.91</v>
      </c>
      <c r="C67" s="56">
        <f>'2.Sit. Rezultatului global'!C37</f>
        <v>101171874.89999998</v>
      </c>
      <c r="D67" s="56">
        <f>'2.Sit. Rezultatului global'!D37</f>
        <v>125387822.75</v>
      </c>
      <c r="E67" s="56">
        <f>'2.Sit. Rezultatului global'!E37</f>
        <v>127314643.90000001</v>
      </c>
      <c r="F67" s="56">
        <f>'2.Sit. Rezultatului global'!F37</f>
        <v>109074941.45000003</v>
      </c>
      <c r="G67" s="56">
        <f>'2.Sit. Rezultatului global'!G37</f>
        <v>117962247.67000003</v>
      </c>
      <c r="H67" s="56">
        <f>'2.Sit. Rezultatului global'!H37</f>
        <v>112705448.75</v>
      </c>
      <c r="I67" s="20">
        <f>IF(A67='2.Sit. Rezultatului global'!$W$34,1,0)</f>
        <v>0</v>
      </c>
    </row>
    <row r="68" spans="1:24" x14ac:dyDescent="0.25">
      <c r="A68" s="36" t="s">
        <v>129</v>
      </c>
      <c r="B68" s="56">
        <f>'2.Sit. Rezultatului global'!B38</f>
        <v>30961367.02</v>
      </c>
      <c r="C68" s="56">
        <f>'2.Sit. Rezultatului global'!C38</f>
        <v>23154618.529999994</v>
      </c>
      <c r="D68" s="56">
        <f>'2.Sit. Rezultatului global'!D38</f>
        <v>38271305.11999999</v>
      </c>
      <c r="E68" s="56">
        <f>'2.Sit. Rezultatului global'!E38</f>
        <v>46502131.649999984</v>
      </c>
      <c r="F68" s="56">
        <f>'2.Sit. Rezultatului global'!F38</f>
        <v>37905250.480000019</v>
      </c>
      <c r="G68" s="56">
        <f>'2.Sit. Rezultatului global'!G38</f>
        <v>34424642.269999996</v>
      </c>
      <c r="H68" s="56">
        <f>'2.Sit. Rezultatului global'!H38</f>
        <v>26256942.330000006</v>
      </c>
      <c r="I68" s="20">
        <f>IF(A68='2.Sit. Rezultatului global'!$W$34,1,0)</f>
        <v>1</v>
      </c>
    </row>
    <row r="69" spans="1:24" x14ac:dyDescent="0.25">
      <c r="A69" s="36" t="s">
        <v>130</v>
      </c>
      <c r="B69" s="56">
        <f>'2.Sit. Rezultatului global'!B39</f>
        <v>5607112.0099999998</v>
      </c>
      <c r="C69" s="56">
        <f>'2.Sit. Rezultatului global'!C39</f>
        <v>5512011.29</v>
      </c>
      <c r="D69" s="56">
        <f>'2.Sit. Rezultatului global'!D39</f>
        <v>5831907.4100000001</v>
      </c>
      <c r="E69" s="56">
        <f>'2.Sit. Rezultatului global'!E39</f>
        <v>9489499.3099999987</v>
      </c>
      <c r="F69" s="56">
        <f>'2.Sit. Rezultatului global'!F39</f>
        <v>6351216.3600000003</v>
      </c>
      <c r="G69" s="56">
        <f>'2.Sit. Rezultatului global'!G39</f>
        <v>6549172.9899999993</v>
      </c>
      <c r="H69" s="56">
        <f>'2.Sit. Rezultatului global'!H39</f>
        <v>6011589.6799999988</v>
      </c>
      <c r="I69" s="20">
        <f>IF(A69='2.Sit. Rezultatului global'!$W$34,1,0)</f>
        <v>0</v>
      </c>
    </row>
    <row r="70" spans="1:24" x14ac:dyDescent="0.25">
      <c r="A70" s="36" t="s">
        <v>131</v>
      </c>
      <c r="B70" s="56">
        <f>'2.Sit. Rezultatului global'!B40</f>
        <v>43941141.789999999</v>
      </c>
      <c r="C70" s="56">
        <f>'2.Sit. Rezultatului global'!C40</f>
        <v>51307967.540000007</v>
      </c>
      <c r="D70" s="56">
        <f>'2.Sit. Rezultatului global'!D40</f>
        <v>95246611.829999998</v>
      </c>
      <c r="E70" s="56">
        <f>'2.Sit. Rezultatului global'!E40</f>
        <v>79494779.260000005</v>
      </c>
      <c r="F70" s="56">
        <f>'2.Sit. Rezultatului global'!F40</f>
        <v>60899445.830000013</v>
      </c>
      <c r="G70" s="56">
        <f>'2.Sit. Rezultatului global'!G40</f>
        <v>66697771.480000004</v>
      </c>
      <c r="H70" s="56">
        <f>'2.Sit. Rezultatului global'!H40</f>
        <v>49462288.699999996</v>
      </c>
      <c r="I70" s="20">
        <f>IF(A70='2.Sit. Rezultatului global'!$W$34,1,0)</f>
        <v>0</v>
      </c>
    </row>
    <row r="71" spans="1:24" x14ac:dyDescent="0.25">
      <c r="B71" s="56"/>
      <c r="C71" s="56"/>
      <c r="D71" s="56"/>
      <c r="E71" s="56"/>
      <c r="F71" s="56"/>
      <c r="G71" s="56"/>
      <c r="H71" s="57"/>
    </row>
    <row r="73" spans="1:24" x14ac:dyDescent="0.25">
      <c r="A73" s="36"/>
    </row>
    <row r="74" spans="1:24" x14ac:dyDescent="0.25">
      <c r="H74" s="57"/>
    </row>
    <row r="75" spans="1:24" x14ac:dyDescent="0.25">
      <c r="A75" s="36" t="s">
        <v>101</v>
      </c>
      <c r="B75" s="20">
        <f>B66</f>
        <v>2019</v>
      </c>
      <c r="C75" s="20">
        <f t="shared" ref="C75:H75" si="27">C66</f>
        <v>2020</v>
      </c>
      <c r="D75" s="20">
        <f t="shared" si="27"/>
        <v>2021</v>
      </c>
      <c r="E75" s="20">
        <f t="shared" si="27"/>
        <v>2022</v>
      </c>
      <c r="F75" s="20">
        <f t="shared" si="27"/>
        <v>2023</v>
      </c>
      <c r="G75" s="20">
        <f t="shared" si="27"/>
        <v>2024</v>
      </c>
      <c r="H75" s="20">
        <f t="shared" si="27"/>
        <v>2025</v>
      </c>
    </row>
    <row r="76" spans="1:24" x14ac:dyDescent="0.25">
      <c r="B76" s="56">
        <f>SUMPRODUCT(B67:B70,$I$67:$I$70)</f>
        <v>30961367.02</v>
      </c>
      <c r="C76" s="56">
        <f t="shared" ref="C76:H76" si="28">SUMPRODUCT(C67:C70,$I$67:$I$70)</f>
        <v>23154618.529999994</v>
      </c>
      <c r="D76" s="56">
        <f t="shared" si="28"/>
        <v>38271305.11999999</v>
      </c>
      <c r="E76" s="56">
        <f t="shared" si="28"/>
        <v>46502131.649999984</v>
      </c>
      <c r="F76" s="56">
        <f t="shared" si="28"/>
        <v>37905250.480000019</v>
      </c>
      <c r="G76" s="56">
        <f t="shared" si="28"/>
        <v>34424642.269999996</v>
      </c>
      <c r="H76" s="56">
        <f t="shared" si="28"/>
        <v>26256942.330000006</v>
      </c>
    </row>
    <row r="77" spans="1:24" x14ac:dyDescent="0.25">
      <c r="H77" s="57">
        <f>H76/B76-1</f>
        <v>-0.15194499283449259</v>
      </c>
    </row>
    <row r="79" spans="1:24" x14ac:dyDescent="0.25">
      <c r="A79" s="36"/>
    </row>
    <row r="81" spans="1:8" x14ac:dyDescent="0.25">
      <c r="H81" s="57"/>
    </row>
    <row r="82" spans="1:8" x14ac:dyDescent="0.25">
      <c r="A82" s="36"/>
      <c r="B82" s="43">
        <f>B9</f>
        <v>2019</v>
      </c>
      <c r="C82" s="43">
        <f t="shared" ref="C82:G82" si="29">C9</f>
        <v>2020</v>
      </c>
      <c r="D82" s="43">
        <f t="shared" si="29"/>
        <v>2021</v>
      </c>
      <c r="E82" s="43">
        <f t="shared" si="29"/>
        <v>2022</v>
      </c>
      <c r="F82" s="43">
        <f t="shared" si="29"/>
        <v>2023</v>
      </c>
      <c r="G82" s="43">
        <f t="shared" si="29"/>
        <v>2024</v>
      </c>
      <c r="H82" s="43">
        <f>H9</f>
        <v>2025</v>
      </c>
    </row>
    <row r="83" spans="1:8" x14ac:dyDescent="0.25">
      <c r="A83" s="58" t="str">
        <f>A10</f>
        <v>Active pe termen lung</v>
      </c>
      <c r="B83" s="46">
        <f>B10/B$86</f>
        <v>0.66402773276199845</v>
      </c>
      <c r="C83" s="46">
        <f t="shared" ref="C83:H84" si="30">C10/C$86</f>
        <v>0.6609689543767866</v>
      </c>
      <c r="D83" s="46">
        <f t="shared" si="30"/>
        <v>0.56701448515870667</v>
      </c>
      <c r="E83" s="46">
        <f t="shared" si="30"/>
        <v>0.47600640571478398</v>
      </c>
      <c r="F83" s="46">
        <f t="shared" si="30"/>
        <v>0.49323853419214786</v>
      </c>
      <c r="G83" s="46">
        <f t="shared" si="30"/>
        <v>0.53332059183482727</v>
      </c>
      <c r="H83" s="46">
        <f t="shared" si="30"/>
        <v>0.53968937708369857</v>
      </c>
    </row>
    <row r="84" spans="1:8" x14ac:dyDescent="0.25">
      <c r="A84" s="58" t="str">
        <f>A11</f>
        <v>Active curente</v>
      </c>
      <c r="B84" s="46">
        <f>B11/B$86</f>
        <v>0.33597226723800161</v>
      </c>
      <c r="C84" s="46">
        <f t="shared" si="30"/>
        <v>0.33903104562321335</v>
      </c>
      <c r="D84" s="46">
        <f t="shared" si="30"/>
        <v>0.43298551484129338</v>
      </c>
      <c r="E84" s="46">
        <f t="shared" si="30"/>
        <v>0.52399359428521597</v>
      </c>
      <c r="F84" s="46">
        <f t="shared" si="30"/>
        <v>0.50676146580785209</v>
      </c>
      <c r="G84" s="46">
        <f t="shared" si="30"/>
        <v>0.46667940816517267</v>
      </c>
      <c r="H84" s="46">
        <f t="shared" si="30"/>
        <v>0.46031062291630148</v>
      </c>
    </row>
    <row r="85" spans="1:8" x14ac:dyDescent="0.25">
      <c r="A85" s="36"/>
      <c r="B85" s="36"/>
      <c r="C85" s="36"/>
      <c r="D85" s="36"/>
      <c r="E85" s="36"/>
      <c r="F85" s="36"/>
      <c r="G85" s="36"/>
      <c r="H85" s="36"/>
    </row>
    <row r="86" spans="1:8" x14ac:dyDescent="0.25">
      <c r="A86" s="36"/>
      <c r="B86" s="44">
        <f>B10+B11</f>
        <v>246194905.51999998</v>
      </c>
      <c r="C86" s="44">
        <f t="shared" ref="C86:H86" si="31">C10+C11</f>
        <v>231354180.93000001</v>
      </c>
      <c r="D86" s="44">
        <f t="shared" si="31"/>
        <v>244022870</v>
      </c>
      <c r="E86" s="44">
        <f t="shared" si="31"/>
        <v>280067418</v>
      </c>
      <c r="F86" s="44">
        <f t="shared" si="31"/>
        <v>241134252</v>
      </c>
      <c r="G86" s="44">
        <f t="shared" si="31"/>
        <v>236984161</v>
      </c>
      <c r="H86" s="44">
        <f t="shared" si="31"/>
        <v>239172373</v>
      </c>
    </row>
    <row r="87" spans="1:8" x14ac:dyDescent="0.25">
      <c r="A87" s="36"/>
      <c r="B87" s="36"/>
      <c r="C87" s="36"/>
      <c r="D87" s="36"/>
      <c r="E87" s="36"/>
      <c r="F87" s="36"/>
      <c r="G87" s="36"/>
      <c r="H87" s="36"/>
    </row>
    <row r="88" spans="1:8" x14ac:dyDescent="0.25">
      <c r="A88" s="36"/>
      <c r="B88" s="36"/>
      <c r="C88" s="36"/>
      <c r="D88" s="36"/>
      <c r="E88" s="36"/>
      <c r="F88" s="36"/>
      <c r="G88" s="36"/>
      <c r="H88" s="36"/>
    </row>
    <row r="89" spans="1:8" x14ac:dyDescent="0.25">
      <c r="A89" s="36"/>
      <c r="B89" s="36"/>
      <c r="C89" s="36"/>
      <c r="D89" s="36"/>
      <c r="E89" s="36"/>
      <c r="F89" s="36"/>
      <c r="G89" s="36"/>
      <c r="H89" s="36"/>
    </row>
    <row r="90" spans="1:8" x14ac:dyDescent="0.25">
      <c r="A90" s="36" t="str">
        <f>"Total "&amp;Grafice!$N$2</f>
        <v>Total Active</v>
      </c>
      <c r="B90" s="36"/>
      <c r="C90" s="36"/>
      <c r="D90" s="36"/>
      <c r="E90" s="36"/>
      <c r="F90" s="36"/>
      <c r="G90" s="36"/>
      <c r="H90" s="3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63"/>
  <sheetViews>
    <sheetView showGridLines="0" zoomScale="90" zoomScaleNormal="90" workbookViewId="0">
      <selection activeCell="G31" sqref="G31"/>
    </sheetView>
  </sheetViews>
  <sheetFormatPr defaultColWidth="8.85546875" defaultRowHeight="15" x14ac:dyDescent="0.25"/>
  <cols>
    <col min="1" max="1" width="54.85546875" style="36" bestFit="1" customWidth="1"/>
    <col min="2" max="2" width="13.28515625" style="36" bestFit="1" customWidth="1"/>
    <col min="3" max="3" width="12.85546875" style="36" customWidth="1"/>
    <col min="4" max="5" width="13" style="36" bestFit="1" customWidth="1"/>
    <col min="6" max="6" width="13.28515625" style="36" bestFit="1" customWidth="1"/>
    <col min="7" max="7" width="13" style="36" bestFit="1" customWidth="1"/>
    <col min="8" max="8" width="13.140625" style="36" customWidth="1"/>
    <col min="9" max="9" width="2.85546875" style="51" bestFit="1" customWidth="1"/>
    <col min="10" max="10" width="12.42578125" style="36" bestFit="1" customWidth="1"/>
    <col min="11" max="11" width="9.140625" style="36" bestFit="1" customWidth="1"/>
    <col min="12" max="16384" width="8.85546875" style="36"/>
  </cols>
  <sheetData>
    <row r="3" spans="1:12" ht="15.75" thickBot="1" x14ac:dyDescent="0.3"/>
    <row r="4" spans="1:12" ht="26.45" customHeight="1" thickBot="1" x14ac:dyDescent="0.3">
      <c r="A4" s="119" t="s">
        <v>0</v>
      </c>
      <c r="B4" s="120">
        <v>2019</v>
      </c>
      <c r="C4" s="120">
        <f>B4+1</f>
        <v>2020</v>
      </c>
      <c r="D4" s="120">
        <f t="shared" ref="D4:H4" si="0">C4+1</f>
        <v>2021</v>
      </c>
      <c r="E4" s="120">
        <f t="shared" si="0"/>
        <v>2022</v>
      </c>
      <c r="F4" s="120">
        <f t="shared" si="0"/>
        <v>2023</v>
      </c>
      <c r="G4" s="120">
        <f t="shared" si="0"/>
        <v>2024</v>
      </c>
      <c r="H4" s="120">
        <f t="shared" si="0"/>
        <v>2025</v>
      </c>
      <c r="I4" s="241" t="str">
        <f>CONCATENATE(H4," vs. ",G4)</f>
        <v>2025 vs. 2024</v>
      </c>
      <c r="J4" s="241"/>
      <c r="K4" s="241"/>
    </row>
    <row r="5" spans="1:12" x14ac:dyDescent="0.25">
      <c r="A5" s="121" t="s">
        <v>79</v>
      </c>
      <c r="B5" s="6">
        <f>'2.Sit. Rezultatului global'!B4</f>
        <v>183857279.62999997</v>
      </c>
      <c r="C5" s="6">
        <f>'2.Sit. Rezultatului global'!C4</f>
        <v>181146471.98999998</v>
      </c>
      <c r="D5" s="6">
        <f>'2.Sit. Rezultatului global'!D4</f>
        <v>264737647</v>
      </c>
      <c r="E5" s="6">
        <f>'2.Sit. Rezultatului global'!E4</f>
        <v>262801054</v>
      </c>
      <c r="F5" s="6">
        <f>'2.Sit. Rezultatului global'!F4</f>
        <v>214230854</v>
      </c>
      <c r="G5" s="123">
        <f>'2.Sit. Rezultatului global'!G4</f>
        <v>225633834</v>
      </c>
      <c r="H5" s="123">
        <f>'2.Sit. Rezultatului global'!H4</f>
        <v>194436269</v>
      </c>
      <c r="I5" s="126" t="str">
        <f>IF(H5+G5&gt;0,IF(H5&gt;G5,"▲",IF(H5=G5,"▬","▼")),IF(H5&gt;G5,"▼",IF(H5=G5,"▬","▲")))</f>
        <v>▼</v>
      </c>
      <c r="J5" s="127">
        <f>H5-G5</f>
        <v>-31197565</v>
      </c>
      <c r="K5" s="128">
        <f>H5/G5-1</f>
        <v>-0.13826634262661153</v>
      </c>
      <c r="L5" s="46"/>
    </row>
    <row r="6" spans="1:12" x14ac:dyDescent="0.25">
      <c r="A6" s="121" t="s">
        <v>22</v>
      </c>
      <c r="B6" s="6">
        <f>'2.Sit. Rezultatului global'!B5</f>
        <v>4140236.81</v>
      </c>
      <c r="C6" s="6">
        <f>'2.Sit. Rezultatului global'!C5</f>
        <v>3967550.28</v>
      </c>
      <c r="D6" s="6">
        <f>'2.Sit. Rezultatului global'!D5</f>
        <v>4459406</v>
      </c>
      <c r="E6" s="6">
        <f>'2.Sit. Rezultatului global'!E5</f>
        <v>4454249</v>
      </c>
      <c r="F6" s="6">
        <f>'2.Sit. Rezultatului global'!F5</f>
        <v>4303986</v>
      </c>
      <c r="G6" s="123">
        <f>'2.Sit. Rezultatului global'!G5</f>
        <v>3994432</v>
      </c>
      <c r="H6" s="123">
        <f>'2.Sit. Rezultatului global'!H5</f>
        <v>3542005</v>
      </c>
      <c r="I6" s="126" t="str">
        <f t="shared" ref="I6:I16" si="1">IF(H6+G6&gt;0,IF(H6&gt;G6,"▲",IF(H6=G6,"▬","▼")),IF(H6&gt;G6,"▼",IF(H6=G6,"▬","▲")))</f>
        <v>▼</v>
      </c>
      <c r="J6" s="127">
        <f t="shared" ref="J6:J17" si="2">H6-G6</f>
        <v>-452427</v>
      </c>
      <c r="K6" s="128">
        <f t="shared" ref="K6:K17" si="3">H6/G6-1</f>
        <v>-0.11326441406437759</v>
      </c>
      <c r="L6" s="46"/>
    </row>
    <row r="7" spans="1:12" ht="15.75" thickBot="1" x14ac:dyDescent="0.3">
      <c r="A7" s="121" t="s">
        <v>24</v>
      </c>
      <c r="B7" s="7">
        <f>'EBIT-EBITDA'!B9</f>
        <v>10419423.999999983</v>
      </c>
      <c r="C7" s="7">
        <f>'EBIT-EBITDA'!C9</f>
        <v>10207662.439999962</v>
      </c>
      <c r="D7" s="7">
        <f>'EBIT-EBITDA'!D9</f>
        <v>8112816</v>
      </c>
      <c r="E7" s="7">
        <f>'EBIT-EBITDA'!E9</f>
        <v>61072654</v>
      </c>
      <c r="F7" s="7">
        <f>'EBIT-EBITDA'!F9</f>
        <v>12582621</v>
      </c>
      <c r="G7" s="123">
        <f>'EBIT-EBITDA'!G9</f>
        <v>2598383</v>
      </c>
      <c r="H7" s="123">
        <f>'EBIT-EBITDA'!H9</f>
        <v>11628192</v>
      </c>
      <c r="I7" s="126" t="str">
        <f t="shared" si="1"/>
        <v>▲</v>
      </c>
      <c r="J7" s="127">
        <f t="shared" si="2"/>
        <v>9029809</v>
      </c>
      <c r="K7" s="128">
        <f t="shared" si="3"/>
        <v>3.4751647466905382</v>
      </c>
      <c r="L7" s="46"/>
    </row>
    <row r="8" spans="1:12" ht="15.75" thickBot="1" x14ac:dyDescent="0.3">
      <c r="A8" s="122" t="s">
        <v>116</v>
      </c>
      <c r="B8" s="54">
        <v>12318776.420000032</v>
      </c>
      <c r="C8" s="54">
        <v>12374753.540000008</v>
      </c>
      <c r="D8" s="54">
        <v>13987047.550000012</v>
      </c>
      <c r="E8" s="54">
        <v>14036140.379999965</v>
      </c>
      <c r="F8" s="54">
        <v>4873275.8999999762</v>
      </c>
      <c r="G8" s="124">
        <v>579593.64999997616</v>
      </c>
      <c r="H8" s="124">
        <v>5624071.7500000298</v>
      </c>
      <c r="I8" s="129" t="str">
        <f t="shared" si="1"/>
        <v>▲</v>
      </c>
      <c r="J8" s="130">
        <f t="shared" ref="J8" si="4">H8-G8</f>
        <v>5044478.1000000536</v>
      </c>
      <c r="K8" s="131">
        <f>H8/G8-1</f>
        <v>8.7034737181821455</v>
      </c>
      <c r="L8" s="46"/>
    </row>
    <row r="9" spans="1:12" ht="15.75" thickBot="1" x14ac:dyDescent="0.3">
      <c r="A9" s="121" t="s">
        <v>155</v>
      </c>
      <c r="B9" s="7">
        <f>'2.Sit. Rezultatului global'!B12</f>
        <v>3436523.5099999816</v>
      </c>
      <c r="C9" s="7">
        <f>'2.Sit. Rezultatului global'!C12</f>
        <v>3195643.0099999616</v>
      </c>
      <c r="D9" s="7">
        <f>'2.Sit. Rezultatului global'!D12</f>
        <v>7560431</v>
      </c>
      <c r="E9" s="7">
        <f>'2.Sit. Rezultatului global'!E12</f>
        <v>6621228</v>
      </c>
      <c r="F9" s="7">
        <f>'2.Sit. Rezultatului global'!F12</f>
        <v>2133197</v>
      </c>
      <c r="G9" s="123">
        <f>'2.Sit. Rezultatului global'!G12</f>
        <v>-7201258</v>
      </c>
      <c r="H9" s="123">
        <f>'2.Sit. Rezultatului global'!H12</f>
        <v>3273903</v>
      </c>
      <c r="I9" s="129" t="str">
        <f t="shared" ref="I9" si="5">IF(H9+G9&gt;0,IF(H9&gt;G9,"▲",IF(H9=G9,"▬","▼")),IF(H9&gt;G9,"▼",IF(H9=G9,"▬","▲")))</f>
        <v>▼</v>
      </c>
      <c r="J9" s="130">
        <f t="shared" ref="J9" si="6">H9-G9</f>
        <v>10475161</v>
      </c>
      <c r="K9" s="131">
        <f>H9/G9-1</f>
        <v>-1.4546293161555939</v>
      </c>
      <c r="L9" s="46"/>
    </row>
    <row r="10" spans="1:12" x14ac:dyDescent="0.25">
      <c r="A10" s="121" t="s">
        <v>73</v>
      </c>
      <c r="B10" s="7">
        <f>'2.Sit. Rezultatului global'!B19</f>
        <v>370097.9599999818</v>
      </c>
      <c r="C10" s="7">
        <f>'2.Sit. Rezultatului global'!C19</f>
        <v>869105.43999996176</v>
      </c>
      <c r="D10" s="7">
        <f>'2.Sit. Rezultatului global'!D19</f>
        <v>-1447458</v>
      </c>
      <c r="E10" s="7">
        <f>'2.Sit. Rezultatului global'!E19</f>
        <v>51471690</v>
      </c>
      <c r="F10" s="7">
        <f>'2.Sit. Rezultatului global'!F19</f>
        <v>3313809</v>
      </c>
      <c r="G10" s="123">
        <f>'2.Sit. Rezultatului global'!G19</f>
        <v>-5992980</v>
      </c>
      <c r="H10" s="123">
        <f>'2.Sit. Rezultatului global'!H19</f>
        <v>1903619</v>
      </c>
      <c r="I10" s="126" t="str">
        <f>IF(H10+G10&gt;0,IF(H10&gt;G10,"▲",IF(H10=G10,"▬","▼")),IF(H10&gt;G10,"▼",IF(H10=G10,"▬","▲")))</f>
        <v>▼</v>
      </c>
      <c r="J10" s="127">
        <f t="shared" si="2"/>
        <v>7896599</v>
      </c>
      <c r="K10" s="128">
        <f t="shared" ref="K10:K13" si="7">H10/G10-1</f>
        <v>-1.3176414738577469</v>
      </c>
      <c r="L10" s="46"/>
    </row>
    <row r="11" spans="1:12" x14ac:dyDescent="0.25">
      <c r="A11" s="121" t="s">
        <v>166</v>
      </c>
      <c r="B11" s="7">
        <f>SUM('2.Sit. Rezultatului global'!B56:B61)</f>
        <v>0</v>
      </c>
      <c r="C11" s="7">
        <f>SUM('2.Sit. Rezultatului global'!C56:C61)</f>
        <v>0</v>
      </c>
      <c r="D11" s="7">
        <f>SUM('2.Sit. Rezultatului global'!D56:D61)</f>
        <v>0</v>
      </c>
      <c r="E11" s="7">
        <f>SUM('2.Sit. Rezultatului global'!E56:E61)</f>
        <v>46745700</v>
      </c>
      <c r="F11" s="7">
        <f>SUM('2.Sit. Rezultatului global'!F56:F61)</f>
        <v>0</v>
      </c>
      <c r="G11" s="123">
        <f>SUM('2.Sit. Rezultatului global'!G56:G61)</f>
        <v>0</v>
      </c>
      <c r="H11" s="123">
        <f>SUM('2.Sit. Rezultatului global'!H56:H61)</f>
        <v>1500000</v>
      </c>
      <c r="I11" s="126" t="str">
        <f t="shared" ref="I11:I13" si="8">IF(H11+G11&gt;0,IF(H11&gt;G11,"▲",IF(H11=G11,"▬","▼")),IF(H11&gt;G11,"▼",IF(H11=G11,"▬","▲")))</f>
        <v>▲</v>
      </c>
      <c r="J11" s="127">
        <f t="shared" ref="J11:J13" si="9">H11-G11</f>
        <v>1500000</v>
      </c>
      <c r="K11" s="128"/>
      <c r="L11" s="46"/>
    </row>
    <row r="12" spans="1:12" x14ac:dyDescent="0.25">
      <c r="A12" s="121" t="s">
        <v>170</v>
      </c>
      <c r="B12" s="7">
        <v>0</v>
      </c>
      <c r="C12" s="7">
        <v>0</v>
      </c>
      <c r="D12" s="7">
        <v>0</v>
      </c>
      <c r="E12" s="7">
        <v>-989160</v>
      </c>
      <c r="F12" s="7"/>
      <c r="G12" s="123">
        <v>0</v>
      </c>
      <c r="H12" s="123">
        <v>0</v>
      </c>
      <c r="I12" s="126" t="str">
        <f t="shared" si="8"/>
        <v>▬</v>
      </c>
      <c r="J12" s="127">
        <f t="shared" si="9"/>
        <v>0</v>
      </c>
      <c r="K12" s="128"/>
      <c r="L12" s="46"/>
    </row>
    <row r="13" spans="1:12" x14ac:dyDescent="0.25">
      <c r="A13" s="121" t="s">
        <v>168</v>
      </c>
      <c r="B13" s="7">
        <f t="shared" ref="B13:D13" si="10">B10-(B11+B12)</f>
        <v>370097.9599999818</v>
      </c>
      <c r="C13" s="7">
        <f t="shared" si="10"/>
        <v>869105.43999996176</v>
      </c>
      <c r="D13" s="7">
        <f t="shared" si="10"/>
        <v>-1447458</v>
      </c>
      <c r="E13" s="7">
        <f>E10-(E11+E12)</f>
        <v>5715150</v>
      </c>
      <c r="F13" s="7">
        <f t="shared" ref="F13:G13" si="11">F10-(F11+F12)</f>
        <v>3313809</v>
      </c>
      <c r="G13" s="123">
        <f t="shared" si="11"/>
        <v>-5992980</v>
      </c>
      <c r="H13" s="123">
        <f t="shared" ref="H13" si="12">H10-(H11+H12)</f>
        <v>403619</v>
      </c>
      <c r="I13" s="126" t="str">
        <f t="shared" si="8"/>
        <v>▼</v>
      </c>
      <c r="J13" s="127">
        <f t="shared" si="9"/>
        <v>6396599</v>
      </c>
      <c r="K13" s="128">
        <f t="shared" si="7"/>
        <v>-1.0673486312318747</v>
      </c>
      <c r="L13" s="46"/>
    </row>
    <row r="14" spans="1:12" x14ac:dyDescent="0.25">
      <c r="A14" s="121" t="s">
        <v>74</v>
      </c>
      <c r="B14" s="7">
        <f>'1.Pozitia Financiara'!B8</f>
        <v>163480244.93000001</v>
      </c>
      <c r="C14" s="7">
        <f>'1.Pozitia Financiara'!C8</f>
        <v>152917931.06</v>
      </c>
      <c r="D14" s="7">
        <f>'1.Pozitia Financiara'!D8</f>
        <v>138364502</v>
      </c>
      <c r="E14" s="7">
        <f>'1.Pozitia Financiara'!E8</f>
        <v>133313885</v>
      </c>
      <c r="F14" s="7">
        <f>'1.Pozitia Financiara'!F8</f>
        <v>118936705</v>
      </c>
      <c r="G14" s="123">
        <f>'1.Pozitia Financiara'!G8</f>
        <v>126388533</v>
      </c>
      <c r="H14" s="123">
        <f>'1.Pozitia Financiara'!H8</f>
        <v>129078789</v>
      </c>
      <c r="I14" s="126" t="str">
        <f t="shared" si="1"/>
        <v>▲</v>
      </c>
      <c r="J14" s="127">
        <f t="shared" si="2"/>
        <v>2690256</v>
      </c>
      <c r="K14" s="128">
        <f t="shared" si="3"/>
        <v>2.1285601914534436E-2</v>
      </c>
      <c r="L14" s="46"/>
    </row>
    <row r="15" spans="1:12" x14ac:dyDescent="0.25">
      <c r="A15" s="121" t="s">
        <v>75</v>
      </c>
      <c r="B15" s="7">
        <f>'1.Pozitia Financiara'!B16</f>
        <v>82714660.589999989</v>
      </c>
      <c r="C15" s="7">
        <f>'1.Pozitia Financiara'!C16</f>
        <v>78436249.86999999</v>
      </c>
      <c r="D15" s="7">
        <f>'1.Pozitia Financiara'!D16</f>
        <v>105658368</v>
      </c>
      <c r="E15" s="7">
        <f>'1.Pozitia Financiara'!E16</f>
        <v>146753533</v>
      </c>
      <c r="F15" s="7">
        <f>'1.Pozitia Financiara'!F16</f>
        <v>122197547</v>
      </c>
      <c r="G15" s="123">
        <f>'1.Pozitia Financiara'!G16</f>
        <v>110595628</v>
      </c>
      <c r="H15" s="123">
        <f>'1.Pozitia Financiara'!H16</f>
        <v>110093584</v>
      </c>
      <c r="I15" s="126" t="str">
        <f t="shared" si="1"/>
        <v>▼</v>
      </c>
      <c r="J15" s="127">
        <f t="shared" si="2"/>
        <v>-502044</v>
      </c>
      <c r="K15" s="128">
        <f t="shared" si="3"/>
        <v>-4.5394561166558489E-3</v>
      </c>
      <c r="L15" s="46"/>
    </row>
    <row r="16" spans="1:12" x14ac:dyDescent="0.25">
      <c r="A16" s="121" t="s">
        <v>76</v>
      </c>
      <c r="B16" s="7">
        <f>'1.Pozitia Financiara'!B22</f>
        <v>137054251.80000001</v>
      </c>
      <c r="C16" s="7">
        <f>'1.Pozitia Financiara'!C22</f>
        <v>138212542.24000001</v>
      </c>
      <c r="D16" s="7">
        <f>'1.Pozitia Financiara'!D22</f>
        <v>134144881</v>
      </c>
      <c r="E16" s="7">
        <f>'1.Pozitia Financiara'!E22</f>
        <v>160222957</v>
      </c>
      <c r="F16" s="7">
        <f>'1.Pozitia Financiara'!F22</f>
        <v>150816143</v>
      </c>
      <c r="G16" s="123">
        <f>'1.Pozitia Financiara'!G22</f>
        <v>142368615</v>
      </c>
      <c r="H16" s="123">
        <f>'1.Pozitia Financiara'!H22</f>
        <v>142653449</v>
      </c>
      <c r="I16" s="126" t="str">
        <f t="shared" si="1"/>
        <v>▲</v>
      </c>
      <c r="J16" s="127">
        <f t="shared" si="2"/>
        <v>284834</v>
      </c>
      <c r="K16" s="128">
        <f t="shared" si="3"/>
        <v>2.0006797144160871E-3</v>
      </c>
      <c r="L16" s="46"/>
    </row>
    <row r="17" spans="1:14" x14ac:dyDescent="0.25">
      <c r="A17" s="121" t="s">
        <v>77</v>
      </c>
      <c r="B17" s="7">
        <f>'1.Pozitia Financiara'!B34</f>
        <v>109140652.72000001</v>
      </c>
      <c r="C17" s="7">
        <f>'1.Pozitia Financiara'!C34</f>
        <v>93141638.680000007</v>
      </c>
      <c r="D17" s="7">
        <f>'1.Pozitia Financiara'!D34</f>
        <v>109877989</v>
      </c>
      <c r="E17" s="7">
        <f>'1.Pozitia Financiara'!E34</f>
        <v>119844461</v>
      </c>
      <c r="F17" s="7">
        <f>'1.Pozitia Financiara'!F34</f>
        <v>90318109</v>
      </c>
      <c r="G17" s="123">
        <f>'1.Pozitia Financiara'!G34</f>
        <v>94615546</v>
      </c>
      <c r="H17" s="123">
        <f>'1.Pozitia Financiara'!H34</f>
        <v>96518924</v>
      </c>
      <c r="I17" s="126" t="str">
        <f>IF(H17+G17&gt;0,IF(H17&gt;G17,"▲",IF(H17=G17,"▬","▼")),IF(H17&gt;G17,"▼",IF(H17=G17,"▬","▲")))</f>
        <v>▲</v>
      </c>
      <c r="J17" s="127">
        <f t="shared" si="2"/>
        <v>1903378</v>
      </c>
      <c r="K17" s="128">
        <f t="shared" si="3"/>
        <v>2.011696893869841E-2</v>
      </c>
      <c r="L17" s="46"/>
    </row>
    <row r="18" spans="1:14" x14ac:dyDescent="0.25">
      <c r="A18" s="121" t="s">
        <v>117</v>
      </c>
      <c r="B18" s="52">
        <f t="shared" ref="B18:G18" si="13">B17/(B14+B15)</f>
        <v>0.44330995594518435</v>
      </c>
      <c r="C18" s="52">
        <f t="shared" si="13"/>
        <v>0.40259328059509558</v>
      </c>
      <c r="D18" s="52">
        <f t="shared" si="13"/>
        <v>0.4502774227677922</v>
      </c>
      <c r="E18" s="52">
        <f t="shared" si="13"/>
        <v>0.42791289988612669</v>
      </c>
      <c r="F18" s="52">
        <f t="shared" si="13"/>
        <v>0.37455528715182279</v>
      </c>
      <c r="G18" s="125">
        <f t="shared" si="13"/>
        <v>0.39924839533896106</v>
      </c>
      <c r="H18" s="125">
        <f t="shared" ref="H18" si="14">H17/(H14+H15)</f>
        <v>0.40355381681144253</v>
      </c>
      <c r="I18" s="126" t="str">
        <f>IF(H18+G18&gt;0,IF(H18&gt;G18,"▲",IF(H18=G18,"▬","▼")),IF(H18&gt;G18,"▼",IF(H18=G18,"▬","▲")))</f>
        <v>▲</v>
      </c>
      <c r="J18" s="132">
        <f t="shared" ref="J18:J19" si="15">H18-G18</f>
        <v>4.3054214724814743E-3</v>
      </c>
      <c r="K18" s="128">
        <f t="shared" ref="K18:K19" si="16">H18/G18-1</f>
        <v>1.0783816598251228E-2</v>
      </c>
      <c r="L18" s="46"/>
    </row>
    <row r="19" spans="1:14" x14ac:dyDescent="0.25">
      <c r="A19" s="121" t="s">
        <v>118</v>
      </c>
      <c r="B19" s="52">
        <f>'1.Pozitia Financiara'!B16/'1.Pozitia Financiara'!B33</f>
        <v>1.1039275676009916</v>
      </c>
      <c r="C19" s="52">
        <f>'1.Pozitia Financiara'!C16/'1.Pozitia Financiara'!C33</f>
        <v>1.1571444672392197</v>
      </c>
      <c r="D19" s="52">
        <f>'1.Pozitia Financiara'!D16/'1.Pozitia Financiara'!D33</f>
        <v>1.18947280717453</v>
      </c>
      <c r="E19" s="52">
        <f>'1.Pozitia Financiara'!E16/'1.Pozitia Financiara'!E33</f>
        <v>1.4742601677552154</v>
      </c>
      <c r="F19" s="52">
        <f>'1.Pozitia Financiara'!F16/'1.Pozitia Financiara'!F33</f>
        <v>1.7689555132921435</v>
      </c>
      <c r="G19" s="125">
        <f>'1.Pozitia Financiara'!G16/'1.Pozitia Financiara'!G33</f>
        <v>1.3579198742806255</v>
      </c>
      <c r="H19" s="125">
        <f>'1.Pozitia Financiara'!H16/'1.Pozitia Financiara'!H33</f>
        <v>1.3470574635101122</v>
      </c>
      <c r="I19" s="133" t="str">
        <f t="shared" ref="I19" si="17">IF(H19+G19&gt;0,IF(H19&gt;G19,"▲",IF(H19=G19,"▬","▼")),IF(H19&gt;G19,"▼",IF(H19=G19,"▬","▲")))</f>
        <v>▼</v>
      </c>
      <c r="J19" s="132">
        <f t="shared" si="15"/>
        <v>-1.0862410770513309E-2</v>
      </c>
      <c r="K19" s="128">
        <f t="shared" si="16"/>
        <v>-7.9993017086282814E-3</v>
      </c>
      <c r="L19" s="46"/>
    </row>
    <row r="20" spans="1:14" x14ac:dyDescent="0.25">
      <c r="A20" s="10" t="s">
        <v>169</v>
      </c>
    </row>
    <row r="22" spans="1:14" x14ac:dyDescent="0.25">
      <c r="B22" s="55"/>
      <c r="C22" s="55"/>
      <c r="D22" s="55"/>
      <c r="E22" s="55"/>
      <c r="F22" s="55"/>
      <c r="G22" s="55"/>
      <c r="H22" s="55"/>
      <c r="I22" s="55"/>
      <c r="L22" s="53"/>
    </row>
    <row r="23" spans="1:14" x14ac:dyDescent="0.25">
      <c r="A23" s="242" t="s">
        <v>119</v>
      </c>
      <c r="B23" s="242"/>
      <c r="C23" s="242"/>
      <c r="D23" s="242"/>
      <c r="E23" s="242"/>
      <c r="F23" s="242"/>
      <c r="G23" s="242"/>
      <c r="H23" s="242"/>
      <c r="I23" s="242"/>
      <c r="N23" s="53">
        <f>H5/B5-1</f>
        <v>5.7539137918767747E-2</v>
      </c>
    </row>
    <row r="24" spans="1:14" x14ac:dyDescent="0.25">
      <c r="A24" s="242"/>
      <c r="B24" s="242"/>
      <c r="C24" s="242"/>
      <c r="D24" s="242"/>
      <c r="E24" s="242"/>
      <c r="F24" s="242"/>
      <c r="G24" s="242"/>
      <c r="H24" s="242"/>
      <c r="I24" s="242"/>
    </row>
    <row r="25" spans="1:14" x14ac:dyDescent="0.25">
      <c r="A25" s="242" t="s">
        <v>120</v>
      </c>
      <c r="B25" s="242"/>
      <c r="C25" s="242"/>
      <c r="D25" s="242"/>
      <c r="E25" s="242"/>
      <c r="F25" s="242"/>
      <c r="G25" s="242"/>
      <c r="H25" s="242"/>
      <c r="I25" s="242"/>
      <c r="J25" s="242"/>
    </row>
    <row r="26" spans="1:14" x14ac:dyDescent="0.25">
      <c r="A26" s="242"/>
      <c r="B26" s="242"/>
      <c r="C26" s="242"/>
      <c r="D26" s="242"/>
      <c r="E26" s="242"/>
      <c r="F26" s="242"/>
      <c r="G26" s="242"/>
      <c r="H26" s="242"/>
      <c r="I26" s="242"/>
      <c r="J26" s="242"/>
    </row>
    <row r="33" spans="2:8" x14ac:dyDescent="0.25">
      <c r="F33" s="55"/>
    </row>
    <row r="46" spans="2:8" x14ac:dyDescent="0.25">
      <c r="F46" s="55"/>
      <c r="G46" s="55"/>
      <c r="H46" s="55"/>
    </row>
    <row r="47" spans="2:8" x14ac:dyDescent="0.25">
      <c r="B47" s="55"/>
      <c r="C47" s="55"/>
      <c r="D47" s="55"/>
      <c r="E47" s="55"/>
      <c r="F47" s="55"/>
      <c r="G47" s="55"/>
      <c r="H47" s="55"/>
    </row>
    <row r="48" spans="2:8" x14ac:dyDescent="0.25">
      <c r="B48" s="55"/>
      <c r="C48" s="55"/>
      <c r="D48" s="55"/>
      <c r="E48" s="55"/>
      <c r="F48" s="55"/>
      <c r="G48" s="55"/>
      <c r="H48" s="55"/>
    </row>
    <row r="49" spans="2:8" x14ac:dyDescent="0.25">
      <c r="B49" s="55"/>
      <c r="C49" s="55"/>
      <c r="D49" s="55"/>
      <c r="E49" s="55"/>
      <c r="F49" s="55"/>
      <c r="G49" s="55"/>
      <c r="H49" s="55"/>
    </row>
    <row r="50" spans="2:8" x14ac:dyDescent="0.25">
      <c r="B50" s="55"/>
      <c r="C50" s="55"/>
      <c r="D50" s="55"/>
      <c r="E50" s="55"/>
      <c r="F50" s="55"/>
      <c r="G50" s="55"/>
      <c r="H50" s="55"/>
    </row>
    <row r="51" spans="2:8" x14ac:dyDescent="0.25">
      <c r="B51" s="55"/>
      <c r="C51" s="55"/>
      <c r="D51" s="55"/>
      <c r="E51" s="55"/>
      <c r="F51" s="55"/>
      <c r="G51" s="55"/>
      <c r="H51" s="55"/>
    </row>
    <row r="52" spans="2:8" x14ac:dyDescent="0.25">
      <c r="B52" s="55"/>
      <c r="C52" s="55"/>
      <c r="D52" s="55"/>
      <c r="E52" s="55"/>
      <c r="F52" s="55"/>
      <c r="G52" s="55"/>
      <c r="H52" s="55"/>
    </row>
    <row r="53" spans="2:8" x14ac:dyDescent="0.25">
      <c r="B53" s="55"/>
      <c r="C53" s="55"/>
      <c r="D53" s="55"/>
      <c r="E53" s="55"/>
      <c r="F53" s="55"/>
      <c r="G53" s="55"/>
      <c r="H53" s="55"/>
    </row>
    <row r="54" spans="2:8" x14ac:dyDescent="0.25">
      <c r="B54" s="55"/>
      <c r="C54" s="55"/>
      <c r="D54" s="55"/>
      <c r="E54" s="55"/>
      <c r="F54" s="55"/>
      <c r="G54" s="55"/>
      <c r="H54" s="55"/>
    </row>
    <row r="55" spans="2:8" x14ac:dyDescent="0.25">
      <c r="B55" s="55"/>
      <c r="C55" s="55"/>
      <c r="D55" s="55"/>
      <c r="E55" s="55"/>
      <c r="F55" s="55"/>
      <c r="G55" s="55"/>
      <c r="H55" s="55"/>
    </row>
    <row r="56" spans="2:8" x14ac:dyDescent="0.25">
      <c r="B56" s="55"/>
      <c r="C56" s="55"/>
      <c r="D56" s="55"/>
      <c r="E56" s="55"/>
      <c r="F56" s="55"/>
      <c r="G56" s="55"/>
      <c r="H56" s="55"/>
    </row>
    <row r="57" spans="2:8" x14ac:dyDescent="0.25">
      <c r="B57" s="55"/>
      <c r="C57" s="55"/>
      <c r="D57" s="55"/>
      <c r="E57" s="55"/>
      <c r="F57" s="55"/>
      <c r="G57" s="55"/>
      <c r="H57" s="55"/>
    </row>
    <row r="58" spans="2:8" x14ac:dyDescent="0.25">
      <c r="B58" s="55"/>
      <c r="C58" s="55"/>
      <c r="D58" s="55"/>
      <c r="E58" s="55"/>
      <c r="F58" s="55"/>
      <c r="G58" s="55"/>
      <c r="H58" s="55"/>
    </row>
    <row r="59" spans="2:8" x14ac:dyDescent="0.25">
      <c r="B59" s="55"/>
      <c r="C59" s="55"/>
      <c r="D59" s="55"/>
      <c r="E59" s="55"/>
      <c r="F59" s="55"/>
      <c r="G59" s="55"/>
      <c r="H59" s="55"/>
    </row>
    <row r="60" spans="2:8" x14ac:dyDescent="0.25">
      <c r="B60" s="55"/>
      <c r="C60" s="55"/>
      <c r="D60" s="55"/>
      <c r="E60" s="55"/>
      <c r="F60" s="55"/>
      <c r="G60" s="55"/>
      <c r="H60" s="55"/>
    </row>
    <row r="61" spans="2:8" x14ac:dyDescent="0.25">
      <c r="B61" s="55"/>
      <c r="C61" s="55"/>
      <c r="D61" s="55"/>
      <c r="E61" s="55"/>
      <c r="F61" s="55"/>
      <c r="G61" s="55"/>
      <c r="H61" s="55"/>
    </row>
    <row r="62" spans="2:8" x14ac:dyDescent="0.25">
      <c r="B62" s="55"/>
      <c r="C62" s="55"/>
      <c r="D62" s="55"/>
      <c r="E62" s="55"/>
      <c r="F62" s="55"/>
      <c r="G62" s="55"/>
      <c r="H62" s="55"/>
    </row>
    <row r="63" spans="2:8" x14ac:dyDescent="0.25">
      <c r="B63" s="55"/>
      <c r="C63" s="55"/>
      <c r="D63" s="55"/>
      <c r="E63" s="55"/>
      <c r="F63" s="55"/>
      <c r="G63" s="55"/>
      <c r="H63" s="55"/>
    </row>
  </sheetData>
  <mergeCells count="3">
    <mergeCell ref="I4:K4"/>
    <mergeCell ref="A23:I24"/>
    <mergeCell ref="A25:J26"/>
  </mergeCells>
  <conditionalFormatting sqref="I5:I16">
    <cfRule type="expression" dxfId="28" priority="2">
      <formula>H5&lt;G5</formula>
    </cfRule>
    <cfRule type="expression" dxfId="27" priority="3">
      <formula>H5&gt;G5</formula>
    </cfRule>
  </conditionalFormatting>
  <conditionalFormatting sqref="I5:I19">
    <cfRule type="expression" dxfId="26" priority="1">
      <formula>H5=G5</formula>
    </cfRule>
  </conditionalFormatting>
  <conditionalFormatting sqref="I17:I18">
    <cfRule type="expression" dxfId="25" priority="85">
      <formula>H17&gt;G17</formula>
    </cfRule>
    <cfRule type="expression" dxfId="24" priority="86">
      <formula>H1&lt;G17</formula>
    </cfRule>
  </conditionalFormatting>
  <conditionalFormatting sqref="I19">
    <cfRule type="expression" dxfId="23" priority="11">
      <formula>H19&lt;G19</formula>
    </cfRule>
    <cfRule type="expression" dxfId="22" priority="12">
      <formula>H19&gt;G19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37"/>
  <sheetViews>
    <sheetView showGridLines="0" zoomScale="90" zoomScaleNormal="90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A31" activeCellId="1" sqref="A26 A31"/>
    </sheetView>
  </sheetViews>
  <sheetFormatPr defaultColWidth="9.140625" defaultRowHeight="15" x14ac:dyDescent="0.25"/>
  <cols>
    <col min="1" max="1" width="60.42578125" style="1" bestFit="1" customWidth="1"/>
    <col min="2" max="2" width="14.140625" style="1" customWidth="1"/>
    <col min="3" max="8" width="13.140625" style="1" bestFit="1" customWidth="1"/>
    <col min="9" max="9" width="10.5703125" style="1" bestFit="1" customWidth="1"/>
    <col min="10" max="10" width="11" style="1" bestFit="1" customWidth="1"/>
    <col min="11" max="11" width="3" style="1" bestFit="1" customWidth="1"/>
    <col min="12" max="12" width="8.42578125" style="1" bestFit="1" customWidth="1"/>
    <col min="13" max="13" width="9.140625" style="1"/>
    <col min="14" max="14" width="13.5703125" style="1" bestFit="1" customWidth="1"/>
    <col min="15" max="15" width="11.85546875" style="1" bestFit="1" customWidth="1"/>
    <col min="16" max="16" width="12.140625" style="1" bestFit="1" customWidth="1"/>
    <col min="17" max="16384" width="9.140625" style="1"/>
  </cols>
  <sheetData>
    <row r="3" spans="1:16" ht="43.5" customHeight="1" x14ac:dyDescent="0.25">
      <c r="A3" s="59" t="s">
        <v>0</v>
      </c>
      <c r="B3" s="100">
        <v>2019</v>
      </c>
      <c r="C3" s="100">
        <f t="shared" ref="C3" si="0">B3+1</f>
        <v>2020</v>
      </c>
      <c r="D3" s="100">
        <f t="shared" ref="D3" si="1">C3+1</f>
        <v>2021</v>
      </c>
      <c r="E3" s="100">
        <f t="shared" ref="E3" si="2">D3+1</f>
        <v>2022</v>
      </c>
      <c r="F3" s="100">
        <f t="shared" ref="F3" si="3">E3+1</f>
        <v>2023</v>
      </c>
      <c r="G3" s="100">
        <f t="shared" ref="G3" si="4">F3+1</f>
        <v>2024</v>
      </c>
      <c r="H3" s="100">
        <f t="shared" ref="H3" si="5">G3+1</f>
        <v>2025</v>
      </c>
      <c r="I3" s="101" t="s">
        <v>171</v>
      </c>
      <c r="J3" s="243" t="str">
        <f>CONCATENATE(H3," vs. ",G3)</f>
        <v>2025 vs. 2024</v>
      </c>
      <c r="K3" s="243"/>
      <c r="L3" s="243"/>
    </row>
    <row r="4" spans="1:16" x14ac:dyDescent="0.25">
      <c r="A4" s="2" t="s">
        <v>1</v>
      </c>
      <c r="B4" s="7">
        <v>122648083.71000001</v>
      </c>
      <c r="C4" s="7">
        <v>113644666.37</v>
      </c>
      <c r="D4" s="7">
        <v>106567874</v>
      </c>
      <c r="E4" s="7">
        <v>102490667</v>
      </c>
      <c r="F4" s="7">
        <v>106808714</v>
      </c>
      <c r="G4" s="7">
        <v>113487855</v>
      </c>
      <c r="H4" s="7">
        <v>120973615</v>
      </c>
      <c r="I4" s="228">
        <f>H4/$H$17</f>
        <v>0.50580095636714695</v>
      </c>
      <c r="J4" s="229">
        <f>H4-G4</f>
        <v>7485760</v>
      </c>
      <c r="K4" s="228" t="str">
        <f>IF(H4&gt;G4,"▲",IF(H4=G4,"▬","▼"))</f>
        <v>▲</v>
      </c>
      <c r="L4" s="228">
        <f>H4/G4-100%</f>
        <v>6.5960890705000885E-2</v>
      </c>
      <c r="N4" s="40"/>
    </row>
    <row r="5" spans="1:16" x14ac:dyDescent="0.25">
      <c r="A5" s="3" t="s">
        <v>2</v>
      </c>
      <c r="B5" s="103">
        <v>13432444</v>
      </c>
      <c r="C5" s="103">
        <v>11885345.9</v>
      </c>
      <c r="D5" s="103">
        <v>10894586</v>
      </c>
      <c r="E5" s="103">
        <v>9883738</v>
      </c>
      <c r="F5" s="103">
        <v>10857912</v>
      </c>
      <c r="G5" s="103">
        <v>11909857</v>
      </c>
      <c r="H5" s="103">
        <v>7361452</v>
      </c>
      <c r="I5" s="228">
        <f t="shared" ref="I5:I35" si="6">H5/$H$17</f>
        <v>3.0778855883994594E-2</v>
      </c>
      <c r="J5" s="229">
        <f t="shared" ref="J5:J35" si="7">H5-G5</f>
        <v>-4548405</v>
      </c>
      <c r="K5" s="228" t="str">
        <f t="shared" ref="K5:K35" si="8">IF(H5&gt;G5,"▲",IF(H5=G5,"▬","▼"))</f>
        <v>▼</v>
      </c>
      <c r="L5" s="228">
        <f t="shared" ref="L5:L35" si="9">H5/G5-100%</f>
        <v>-0.38190257028274988</v>
      </c>
      <c r="N5" s="40"/>
    </row>
    <row r="6" spans="1:16" x14ac:dyDescent="0.25">
      <c r="A6" s="2" t="s">
        <v>3</v>
      </c>
      <c r="B6" s="7">
        <v>314136.3200000003</v>
      </c>
      <c r="C6" s="7">
        <v>302737.3899999999</v>
      </c>
      <c r="D6" s="7">
        <v>294483</v>
      </c>
      <c r="E6" s="7">
        <v>330920</v>
      </c>
      <c r="F6" s="7">
        <v>809485</v>
      </c>
      <c r="G6" s="7">
        <v>573640</v>
      </c>
      <c r="H6" s="7">
        <v>401283</v>
      </c>
      <c r="I6" s="228">
        <f t="shared" si="6"/>
        <v>1.677798296544894E-3</v>
      </c>
      <c r="J6" s="229">
        <f t="shared" si="7"/>
        <v>-172357</v>
      </c>
      <c r="K6" s="228" t="str">
        <f t="shared" si="8"/>
        <v>▼</v>
      </c>
      <c r="L6" s="228">
        <f t="shared" si="9"/>
        <v>-0.30046196220626176</v>
      </c>
      <c r="N6" s="40"/>
    </row>
    <row r="7" spans="1:16" ht="15.75" thickBot="1" x14ac:dyDescent="0.3">
      <c r="A7" s="2" t="s">
        <v>4</v>
      </c>
      <c r="B7" s="7">
        <v>27085580.900000002</v>
      </c>
      <c r="C7" s="7">
        <v>27085181.400000002</v>
      </c>
      <c r="D7" s="7">
        <v>20607559</v>
      </c>
      <c r="E7" s="7">
        <v>20608560</v>
      </c>
      <c r="F7" s="7">
        <v>460594</v>
      </c>
      <c r="G7" s="7">
        <v>417181</v>
      </c>
      <c r="H7" s="7">
        <v>342439</v>
      </c>
      <c r="I7" s="228">
        <f t="shared" si="6"/>
        <v>1.4317665360120836E-3</v>
      </c>
      <c r="J7" s="229">
        <f t="shared" si="7"/>
        <v>-74742</v>
      </c>
      <c r="K7" s="228" t="str">
        <f t="shared" si="8"/>
        <v>▼</v>
      </c>
      <c r="L7" s="228">
        <f t="shared" si="9"/>
        <v>-0.17915964533379991</v>
      </c>
      <c r="N7" s="40"/>
    </row>
    <row r="8" spans="1:16" ht="15.75" thickBot="1" x14ac:dyDescent="0.3">
      <c r="A8" s="4" t="s">
        <v>74</v>
      </c>
      <c r="B8" s="104">
        <f t="shared" ref="B8:C8" si="10">SUM(B4:B7)</f>
        <v>163480244.93000001</v>
      </c>
      <c r="C8" s="104">
        <f t="shared" si="10"/>
        <v>152917931.06</v>
      </c>
      <c r="D8" s="104">
        <f>SUM(D4:D7)</f>
        <v>138364502</v>
      </c>
      <c r="E8" s="104">
        <f t="shared" ref="E8:H8" si="11">SUM(E4:E7)</f>
        <v>133313885</v>
      </c>
      <c r="F8" s="104">
        <f t="shared" si="11"/>
        <v>118936705</v>
      </c>
      <c r="G8" s="104">
        <f t="shared" si="11"/>
        <v>126388533</v>
      </c>
      <c r="H8" s="104">
        <f t="shared" si="11"/>
        <v>129078789</v>
      </c>
      <c r="I8" s="230">
        <f t="shared" si="6"/>
        <v>0.53968937708369857</v>
      </c>
      <c r="J8" s="231">
        <f t="shared" si="7"/>
        <v>2690256</v>
      </c>
      <c r="K8" s="232" t="str">
        <f t="shared" si="8"/>
        <v>▲</v>
      </c>
      <c r="L8" s="230">
        <f t="shared" si="9"/>
        <v>2.1285601914534436E-2</v>
      </c>
      <c r="N8" s="40"/>
    </row>
    <row r="9" spans="1:16" x14ac:dyDescent="0.25">
      <c r="A9" s="2" t="s">
        <v>135</v>
      </c>
      <c r="B9" s="7">
        <v>25346354.789999992</v>
      </c>
      <c r="C9" s="7">
        <v>22285770.819999997</v>
      </c>
      <c r="D9" s="7">
        <v>27647514</v>
      </c>
      <c r="E9" s="7">
        <v>29963707</v>
      </c>
      <c r="F9" s="7">
        <v>30951094</v>
      </c>
      <c r="G9" s="7">
        <v>38329846</v>
      </c>
      <c r="H9" s="7">
        <v>32335324</v>
      </c>
      <c r="I9" s="228">
        <f t="shared" si="6"/>
        <v>0.13519673528514098</v>
      </c>
      <c r="J9" s="229">
        <f t="shared" si="7"/>
        <v>-5994522</v>
      </c>
      <c r="K9" s="228" t="str">
        <f t="shared" si="8"/>
        <v>▼</v>
      </c>
      <c r="L9" s="228">
        <f t="shared" si="9"/>
        <v>-0.15639306247147455</v>
      </c>
      <c r="N9" s="40"/>
      <c r="O9" s="12"/>
      <c r="P9" s="12"/>
    </row>
    <row r="10" spans="1:16" x14ac:dyDescent="0.25">
      <c r="A10" s="2" t="s">
        <v>5</v>
      </c>
      <c r="B10" s="7">
        <v>45865813.140000001</v>
      </c>
      <c r="C10" s="7">
        <v>36839898.379999995</v>
      </c>
      <c r="D10" s="7">
        <v>57999727</v>
      </c>
      <c r="E10" s="7">
        <v>63653763</v>
      </c>
      <c r="F10" s="7">
        <v>55388563</v>
      </c>
      <c r="G10" s="7">
        <v>57139837</v>
      </c>
      <c r="H10" s="7">
        <v>54811414</v>
      </c>
      <c r="I10" s="228">
        <f t="shared" si="6"/>
        <v>0.22917117605384965</v>
      </c>
      <c r="J10" s="229">
        <f t="shared" si="7"/>
        <v>-2328423</v>
      </c>
      <c r="K10" s="228" t="str">
        <f t="shared" si="8"/>
        <v>▼</v>
      </c>
      <c r="L10" s="228">
        <f t="shared" si="9"/>
        <v>-4.0749556215919913E-2</v>
      </c>
      <c r="N10" s="40"/>
    </row>
    <row r="11" spans="1:16" hidden="1" x14ac:dyDescent="0.25">
      <c r="A11" s="2" t="s">
        <v>136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228">
        <f t="shared" si="6"/>
        <v>0</v>
      </c>
      <c r="J11" s="229">
        <f t="shared" si="7"/>
        <v>0</v>
      </c>
      <c r="K11" s="228" t="str">
        <f t="shared" si="8"/>
        <v>▬</v>
      </c>
      <c r="L11" s="228" t="e">
        <f t="shared" si="9"/>
        <v>#DIV/0!</v>
      </c>
      <c r="N11" s="40"/>
    </row>
    <row r="12" spans="1:16" x14ac:dyDescent="0.25">
      <c r="A12" s="5" t="s">
        <v>137</v>
      </c>
      <c r="B12" s="105">
        <v>335912.13</v>
      </c>
      <c r="C12" s="105">
        <v>570774.49</v>
      </c>
      <c r="D12" s="105">
        <v>1265317</v>
      </c>
      <c r="E12" s="105">
        <v>42738851</v>
      </c>
      <c r="F12" s="105">
        <v>5929217</v>
      </c>
      <c r="G12" s="105">
        <v>5479249</v>
      </c>
      <c r="H12" s="105">
        <v>4843142</v>
      </c>
      <c r="I12" s="228">
        <f t="shared" si="6"/>
        <v>2.0249587940493446E-2</v>
      </c>
      <c r="J12" s="229">
        <f t="shared" si="7"/>
        <v>-636107</v>
      </c>
      <c r="K12" s="228" t="str">
        <f t="shared" si="8"/>
        <v>▼</v>
      </c>
      <c r="L12" s="228">
        <f t="shared" si="9"/>
        <v>-0.11609382964709214</v>
      </c>
      <c r="N12" s="40"/>
    </row>
    <row r="13" spans="1:16" x14ac:dyDescent="0.25">
      <c r="A13" s="2" t="s">
        <v>138</v>
      </c>
      <c r="B13" s="7">
        <v>1249969.46</v>
      </c>
      <c r="C13" s="7">
        <v>1080363.21</v>
      </c>
      <c r="D13" s="7">
        <v>2187278</v>
      </c>
      <c r="E13" s="7">
        <v>3864347</v>
      </c>
      <c r="F13" s="7">
        <v>546176</v>
      </c>
      <c r="G13" s="7">
        <v>1079739</v>
      </c>
      <c r="H13" s="7">
        <v>507149</v>
      </c>
      <c r="I13" s="228">
        <f t="shared" si="6"/>
        <v>2.1204330317866602E-3</v>
      </c>
      <c r="J13" s="229">
        <f t="shared" si="7"/>
        <v>-572590</v>
      </c>
      <c r="K13" s="228" t="str">
        <f t="shared" si="8"/>
        <v>▼</v>
      </c>
      <c r="L13" s="228"/>
      <c r="N13" s="40"/>
    </row>
    <row r="14" spans="1:16" x14ac:dyDescent="0.25">
      <c r="A14" s="2" t="s">
        <v>139</v>
      </c>
      <c r="B14" s="7">
        <v>5549445.1199999992</v>
      </c>
      <c r="C14" s="7">
        <v>17588598.129999999</v>
      </c>
      <c r="D14" s="7">
        <v>12798377</v>
      </c>
      <c r="E14" s="7">
        <v>2772710</v>
      </c>
      <c r="F14" s="7">
        <v>29382497</v>
      </c>
      <c r="G14" s="7">
        <v>8566957</v>
      </c>
      <c r="H14" s="7">
        <v>17596555</v>
      </c>
      <c r="I14" s="228">
        <f t="shared" si="6"/>
        <v>7.3572690605030702E-2</v>
      </c>
      <c r="J14" s="229">
        <f t="shared" si="7"/>
        <v>9029598</v>
      </c>
      <c r="K14" s="228" t="str">
        <f t="shared" si="8"/>
        <v>▲</v>
      </c>
      <c r="L14" s="228">
        <f t="shared" si="9"/>
        <v>1.0540029557753119</v>
      </c>
      <c r="N14" s="40"/>
    </row>
    <row r="15" spans="1:16" ht="15.75" thickBot="1" x14ac:dyDescent="0.3">
      <c r="A15" s="2" t="s">
        <v>140</v>
      </c>
      <c r="B15" s="7">
        <v>4367165.95</v>
      </c>
      <c r="C15" s="7">
        <v>70844.84</v>
      </c>
      <c r="D15" s="7">
        <v>3760155</v>
      </c>
      <c r="E15" s="7">
        <v>3760155</v>
      </c>
      <c r="F15" s="7">
        <v>0</v>
      </c>
      <c r="G15" s="7">
        <v>0</v>
      </c>
      <c r="H15" s="7">
        <v>0</v>
      </c>
      <c r="I15" s="228">
        <f t="shared" si="6"/>
        <v>0</v>
      </c>
      <c r="J15" s="229">
        <f t="shared" si="7"/>
        <v>0</v>
      </c>
      <c r="K15" s="228" t="str">
        <f t="shared" si="8"/>
        <v>▬</v>
      </c>
      <c r="L15" s="228" t="e">
        <f t="shared" si="9"/>
        <v>#DIV/0!</v>
      </c>
      <c r="N15" s="40"/>
    </row>
    <row r="16" spans="1:16" ht="15.75" thickBot="1" x14ac:dyDescent="0.3">
      <c r="A16" s="4" t="s">
        <v>75</v>
      </c>
      <c r="B16" s="104">
        <f t="shared" ref="B16:H16" si="12">SUM(B9:B15)</f>
        <v>82714660.589999989</v>
      </c>
      <c r="C16" s="104">
        <f t="shared" si="12"/>
        <v>78436249.86999999</v>
      </c>
      <c r="D16" s="104">
        <f t="shared" si="12"/>
        <v>105658368</v>
      </c>
      <c r="E16" s="104">
        <f t="shared" si="12"/>
        <v>146753533</v>
      </c>
      <c r="F16" s="104">
        <f t="shared" si="12"/>
        <v>122197547</v>
      </c>
      <c r="G16" s="104">
        <f t="shared" si="12"/>
        <v>110595628</v>
      </c>
      <c r="H16" s="104">
        <f t="shared" si="12"/>
        <v>110093584</v>
      </c>
      <c r="I16" s="230">
        <f t="shared" si="6"/>
        <v>0.46031062291630148</v>
      </c>
      <c r="J16" s="231">
        <f t="shared" si="7"/>
        <v>-502044</v>
      </c>
      <c r="K16" s="232" t="str">
        <f t="shared" si="8"/>
        <v>▼</v>
      </c>
      <c r="L16" s="230">
        <f t="shared" si="9"/>
        <v>-4.5394561166558489E-3</v>
      </c>
      <c r="N16" s="40"/>
    </row>
    <row r="17" spans="1:16" ht="15.75" thickBot="1" x14ac:dyDescent="0.3">
      <c r="A17" s="4" t="s">
        <v>6</v>
      </c>
      <c r="B17" s="104">
        <f t="shared" ref="B17:H17" si="13">B16+B8</f>
        <v>246194905.51999998</v>
      </c>
      <c r="C17" s="104">
        <f t="shared" si="13"/>
        <v>231354180.93000001</v>
      </c>
      <c r="D17" s="104">
        <f t="shared" si="13"/>
        <v>244022870</v>
      </c>
      <c r="E17" s="104">
        <f t="shared" si="13"/>
        <v>280067418</v>
      </c>
      <c r="F17" s="104">
        <f t="shared" si="13"/>
        <v>241134252</v>
      </c>
      <c r="G17" s="104">
        <f t="shared" si="13"/>
        <v>236984161</v>
      </c>
      <c r="H17" s="104">
        <f t="shared" si="13"/>
        <v>239172373</v>
      </c>
      <c r="I17" s="230">
        <f t="shared" si="6"/>
        <v>1</v>
      </c>
      <c r="J17" s="231">
        <f t="shared" si="7"/>
        <v>2188212</v>
      </c>
      <c r="K17" s="232" t="str">
        <f t="shared" si="8"/>
        <v>▲</v>
      </c>
      <c r="L17" s="230">
        <f t="shared" si="9"/>
        <v>9.2335791167073022E-3</v>
      </c>
      <c r="N17" s="40"/>
    </row>
    <row r="18" spans="1:16" x14ac:dyDescent="0.25">
      <c r="A18" s="2" t="s">
        <v>7</v>
      </c>
      <c r="B18" s="7">
        <v>26412209.600000001</v>
      </c>
      <c r="C18" s="7">
        <v>26412209.600000001</v>
      </c>
      <c r="D18" s="7">
        <v>26412210</v>
      </c>
      <c r="E18" s="7">
        <v>26412210</v>
      </c>
      <c r="F18" s="7">
        <v>52824419</v>
      </c>
      <c r="G18" s="7">
        <v>52824419</v>
      </c>
      <c r="H18" s="7">
        <v>52824419</v>
      </c>
      <c r="I18" s="228">
        <f t="shared" si="6"/>
        <v>0.22086338124010668</v>
      </c>
      <c r="J18" s="229">
        <f t="shared" si="7"/>
        <v>0</v>
      </c>
      <c r="K18" s="228" t="str">
        <f t="shared" si="8"/>
        <v>▬</v>
      </c>
      <c r="L18" s="228">
        <f t="shared" si="9"/>
        <v>0</v>
      </c>
      <c r="N18" s="40"/>
    </row>
    <row r="19" spans="1:16" x14ac:dyDescent="0.25">
      <c r="A19" s="2" t="s">
        <v>8</v>
      </c>
      <c r="B19" s="7">
        <v>2182283.29</v>
      </c>
      <c r="C19" s="7">
        <v>2182283.29</v>
      </c>
      <c r="D19" s="7">
        <v>2182283</v>
      </c>
      <c r="E19" s="7">
        <v>2182283</v>
      </c>
      <c r="F19" s="7">
        <v>2182283</v>
      </c>
      <c r="G19" s="7">
        <v>2182283</v>
      </c>
      <c r="H19" s="7">
        <v>2182283</v>
      </c>
      <c r="I19" s="228">
        <f t="shared" si="6"/>
        <v>9.1243105239416592E-3</v>
      </c>
      <c r="J19" s="229">
        <f t="shared" si="7"/>
        <v>0</v>
      </c>
      <c r="K19" s="228" t="str">
        <f t="shared" si="8"/>
        <v>▬</v>
      </c>
      <c r="L19" s="228">
        <f t="shared" si="9"/>
        <v>0</v>
      </c>
      <c r="N19" s="40"/>
      <c r="O19" s="40"/>
      <c r="P19" s="40"/>
    </row>
    <row r="20" spans="1:16" x14ac:dyDescent="0.25">
      <c r="A20" s="2" t="s">
        <v>9</v>
      </c>
      <c r="B20" s="7">
        <v>58845304.939999998</v>
      </c>
      <c r="C20" s="7">
        <v>59466596.82</v>
      </c>
      <c r="D20" s="7">
        <v>58542209</v>
      </c>
      <c r="E20" s="7">
        <v>60895474.780000001</v>
      </c>
      <c r="F20" s="7">
        <v>63215704</v>
      </c>
      <c r="G20" s="7">
        <v>62684059</v>
      </c>
      <c r="H20" s="7">
        <v>62149829</v>
      </c>
      <c r="I20" s="228">
        <f t="shared" si="6"/>
        <v>0.25985371228473786</v>
      </c>
      <c r="J20" s="229">
        <f t="shared" si="7"/>
        <v>-534230</v>
      </c>
      <c r="K20" s="228" t="str">
        <f t="shared" si="8"/>
        <v>▼</v>
      </c>
      <c r="L20" s="228">
        <f t="shared" si="9"/>
        <v>-8.5225814748212114E-3</v>
      </c>
      <c r="N20" s="40"/>
    </row>
    <row r="21" spans="1:16" ht="15.75" thickBot="1" x14ac:dyDescent="0.3">
      <c r="A21" s="2" t="s">
        <v>10</v>
      </c>
      <c r="B21" s="7">
        <v>49614453.969999999</v>
      </c>
      <c r="C21" s="7">
        <v>50151452.529999994</v>
      </c>
      <c r="D21" s="7">
        <v>47008179</v>
      </c>
      <c r="E21" s="7">
        <v>70732989.219999999</v>
      </c>
      <c r="F21" s="7">
        <v>32593737</v>
      </c>
      <c r="G21" s="7">
        <v>24677854</v>
      </c>
      <c r="H21" s="7">
        <v>25496918</v>
      </c>
      <c r="I21" s="228">
        <f t="shared" si="6"/>
        <v>0.1066047791397713</v>
      </c>
      <c r="J21" s="229">
        <f t="shared" si="7"/>
        <v>819064</v>
      </c>
      <c r="K21" s="228" t="str">
        <f t="shared" si="8"/>
        <v>▲</v>
      </c>
      <c r="L21" s="228">
        <f t="shared" si="9"/>
        <v>3.3190244176013017E-2</v>
      </c>
      <c r="N21" s="40"/>
    </row>
    <row r="22" spans="1:16" ht="15.75" thickBot="1" x14ac:dyDescent="0.3">
      <c r="A22" s="4" t="s">
        <v>76</v>
      </c>
      <c r="B22" s="104">
        <f t="shared" ref="B22:H22" si="14">SUM(B18:B21)</f>
        <v>137054251.80000001</v>
      </c>
      <c r="C22" s="104">
        <f t="shared" si="14"/>
        <v>138212542.24000001</v>
      </c>
      <c r="D22" s="104">
        <f t="shared" si="14"/>
        <v>134144881</v>
      </c>
      <c r="E22" s="104">
        <f t="shared" si="14"/>
        <v>160222957</v>
      </c>
      <c r="F22" s="104">
        <f t="shared" si="14"/>
        <v>150816143</v>
      </c>
      <c r="G22" s="104">
        <f t="shared" si="14"/>
        <v>142368615</v>
      </c>
      <c r="H22" s="104">
        <f t="shared" si="14"/>
        <v>142653449</v>
      </c>
      <c r="I22" s="230">
        <f t="shared" si="6"/>
        <v>0.59644618318855747</v>
      </c>
      <c r="J22" s="231">
        <f t="shared" si="7"/>
        <v>284834</v>
      </c>
      <c r="K22" s="232" t="str">
        <f t="shared" si="8"/>
        <v>▲</v>
      </c>
      <c r="L22" s="230">
        <f t="shared" si="9"/>
        <v>2.0006797144160871E-3</v>
      </c>
      <c r="N22" s="40"/>
    </row>
    <row r="23" spans="1:16" x14ac:dyDescent="0.25">
      <c r="A23" s="2" t="s">
        <v>141</v>
      </c>
      <c r="B23" s="7">
        <v>0</v>
      </c>
      <c r="C23" s="7">
        <v>200000</v>
      </c>
      <c r="D23" s="7">
        <v>400000</v>
      </c>
      <c r="E23" s="7">
        <v>1000000</v>
      </c>
      <c r="F23" s="7">
        <v>1117000</v>
      </c>
      <c r="G23" s="7">
        <v>1117000</v>
      </c>
      <c r="H23" s="7">
        <v>985000</v>
      </c>
      <c r="I23" s="228">
        <f t="shared" si="6"/>
        <v>4.1183686378359428E-3</v>
      </c>
      <c r="J23" s="229">
        <f t="shared" si="7"/>
        <v>-132000</v>
      </c>
      <c r="K23" s="228" t="str">
        <f t="shared" si="8"/>
        <v>▼</v>
      </c>
      <c r="L23" s="228">
        <f t="shared" si="9"/>
        <v>-0.11817367949865709</v>
      </c>
      <c r="N23" s="40"/>
    </row>
    <row r="24" spans="1:16" x14ac:dyDescent="0.25">
      <c r="A24" s="2" t="s">
        <v>142</v>
      </c>
      <c r="B24" s="7">
        <v>8368626</v>
      </c>
      <c r="C24" s="7">
        <v>7857468</v>
      </c>
      <c r="D24" s="7">
        <v>8012574</v>
      </c>
      <c r="E24" s="7">
        <v>7780659</v>
      </c>
      <c r="F24" s="7">
        <v>7477700</v>
      </c>
      <c r="G24" s="7">
        <v>5637270</v>
      </c>
      <c r="H24" s="7">
        <v>5528204</v>
      </c>
      <c r="I24" s="228">
        <f t="shared" si="6"/>
        <v>2.311389033214133E-2</v>
      </c>
      <c r="J24" s="229">
        <f t="shared" si="7"/>
        <v>-109066</v>
      </c>
      <c r="K24" s="228" t="str">
        <f t="shared" si="8"/>
        <v>▼</v>
      </c>
      <c r="L24" s="228"/>
      <c r="N24" s="40"/>
    </row>
    <row r="25" spans="1:16" x14ac:dyDescent="0.25">
      <c r="A25" s="2" t="s">
        <v>163</v>
      </c>
      <c r="B25" s="7">
        <v>12705852</v>
      </c>
      <c r="C25" s="7">
        <v>6420472.3300000001</v>
      </c>
      <c r="D25" s="7">
        <v>4017590</v>
      </c>
      <c r="E25" s="7">
        <v>4044764</v>
      </c>
      <c r="F25" s="7">
        <v>7283273</v>
      </c>
      <c r="G25" s="7">
        <v>0</v>
      </c>
      <c r="H25" s="7">
        <v>3377939</v>
      </c>
      <c r="I25" s="228">
        <f t="shared" si="6"/>
        <v>1.4123449784896352E-2</v>
      </c>
      <c r="J25" s="229">
        <f t="shared" si="7"/>
        <v>3377939</v>
      </c>
      <c r="K25" s="228" t="str">
        <f t="shared" si="8"/>
        <v>▲</v>
      </c>
      <c r="L25" s="228"/>
      <c r="N25" s="40"/>
    </row>
    <row r="26" spans="1:16" x14ac:dyDescent="0.25">
      <c r="A26" s="2" t="s">
        <v>174</v>
      </c>
      <c r="B26" s="7">
        <v>13138558.98</v>
      </c>
      <c r="C26" s="7">
        <v>10879379.199999999</v>
      </c>
      <c r="D26" s="7">
        <v>8619928</v>
      </c>
      <c r="E26" s="7">
        <v>7475188</v>
      </c>
      <c r="F26" s="7">
        <v>5361210</v>
      </c>
      <c r="G26" s="7">
        <v>6416391</v>
      </c>
      <c r="H26" s="7">
        <v>4898837</v>
      </c>
      <c r="I26" s="228"/>
      <c r="J26" s="229">
        <f t="shared" si="7"/>
        <v>-1517554</v>
      </c>
      <c r="K26" s="228" t="str">
        <f t="shared" si="8"/>
        <v>▼</v>
      </c>
      <c r="L26" s="228">
        <f t="shared" si="9"/>
        <v>-0.23651208288272951</v>
      </c>
      <c r="N26" s="40"/>
    </row>
    <row r="27" spans="1:16" ht="15.75" thickBot="1" x14ac:dyDescent="0.3">
      <c r="A27" s="2" t="s">
        <v>144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228">
        <f t="shared" si="6"/>
        <v>0</v>
      </c>
      <c r="J27" s="229">
        <f t="shared" si="7"/>
        <v>0</v>
      </c>
      <c r="K27" s="228" t="str">
        <f t="shared" si="8"/>
        <v>▬</v>
      </c>
      <c r="L27" s="228"/>
      <c r="N27" s="40"/>
    </row>
    <row r="28" spans="1:16" ht="15.75" thickBot="1" x14ac:dyDescent="0.3">
      <c r="A28" s="4" t="s">
        <v>80</v>
      </c>
      <c r="B28" s="104">
        <f t="shared" ref="B28:H28" si="15">SUM(B23:B27)</f>
        <v>34213036.980000004</v>
      </c>
      <c r="C28" s="104">
        <f t="shared" si="15"/>
        <v>25357319.530000001</v>
      </c>
      <c r="D28" s="104">
        <f t="shared" si="15"/>
        <v>21050092</v>
      </c>
      <c r="E28" s="104">
        <f t="shared" si="15"/>
        <v>20300611</v>
      </c>
      <c r="F28" s="104">
        <f t="shared" si="15"/>
        <v>21239183</v>
      </c>
      <c r="G28" s="104">
        <f t="shared" si="15"/>
        <v>13170661</v>
      </c>
      <c r="H28" s="104">
        <f t="shared" si="15"/>
        <v>14789980</v>
      </c>
      <c r="I28" s="230">
        <f t="shared" si="6"/>
        <v>6.1838162219513541E-2</v>
      </c>
      <c r="J28" s="231">
        <f t="shared" si="7"/>
        <v>1619319</v>
      </c>
      <c r="K28" s="232" t="str">
        <f t="shared" si="8"/>
        <v>▲</v>
      </c>
      <c r="L28" s="230">
        <f t="shared" si="9"/>
        <v>0.12294895449818344</v>
      </c>
      <c r="N28" s="40"/>
    </row>
    <row r="29" spans="1:16" x14ac:dyDescent="0.25">
      <c r="A29" s="2" t="s">
        <v>145</v>
      </c>
      <c r="B29" s="7">
        <v>23643048.73</v>
      </c>
      <c r="C29" s="7">
        <v>26129532.000000004</v>
      </c>
      <c r="D29" s="7">
        <v>37161910</v>
      </c>
      <c r="E29" s="7">
        <v>48060900</v>
      </c>
      <c r="F29" s="7">
        <v>24772723</v>
      </c>
      <c r="G29" s="7">
        <v>34178761</v>
      </c>
      <c r="H29" s="7">
        <v>27024480</v>
      </c>
      <c r="I29" s="228">
        <f t="shared" si="6"/>
        <v>0.11299164556936515</v>
      </c>
      <c r="J29" s="229">
        <f t="shared" si="7"/>
        <v>-7154281</v>
      </c>
      <c r="K29" s="228" t="str">
        <f t="shared" si="8"/>
        <v>▼</v>
      </c>
      <c r="L29" s="228">
        <f t="shared" si="9"/>
        <v>-0.20931949522687499</v>
      </c>
      <c r="N29" s="40"/>
    </row>
    <row r="30" spans="1:16" x14ac:dyDescent="0.25">
      <c r="A30" s="5" t="s">
        <v>146</v>
      </c>
      <c r="B30" s="105">
        <v>46071939.200000003</v>
      </c>
      <c r="C30" s="105">
        <v>37277228.120000005</v>
      </c>
      <c r="D30" s="105">
        <v>46860194</v>
      </c>
      <c r="E30" s="105">
        <v>45859692</v>
      </c>
      <c r="F30" s="105">
        <v>38178595</v>
      </c>
      <c r="G30" s="105">
        <v>42395909</v>
      </c>
      <c r="H30" s="105">
        <v>49957415</v>
      </c>
      <c r="I30" s="228">
        <f t="shared" si="6"/>
        <v>0.20887619407447197</v>
      </c>
      <c r="J30" s="229">
        <f t="shared" si="7"/>
        <v>7561506</v>
      </c>
      <c r="K30" s="228" t="str">
        <f t="shared" si="8"/>
        <v>▲</v>
      </c>
      <c r="L30" s="228">
        <f t="shared" si="9"/>
        <v>0.17835461435677669</v>
      </c>
      <c r="N30" s="40"/>
    </row>
    <row r="31" spans="1:16" x14ac:dyDescent="0.25">
      <c r="A31" s="5" t="s">
        <v>175</v>
      </c>
      <c r="B31" s="105">
        <v>2262702</v>
      </c>
      <c r="C31" s="105">
        <v>2259451</v>
      </c>
      <c r="D31" s="105">
        <v>2259451</v>
      </c>
      <c r="E31" s="105">
        <v>2113978</v>
      </c>
      <c r="F31" s="105">
        <v>2113978</v>
      </c>
      <c r="G31" s="105">
        <v>1535442</v>
      </c>
      <c r="H31" s="105">
        <v>1535442</v>
      </c>
      <c r="I31" s="228"/>
      <c r="J31" s="229">
        <f t="shared" si="7"/>
        <v>0</v>
      </c>
      <c r="K31" s="228" t="str">
        <f t="shared" si="8"/>
        <v>▬</v>
      </c>
      <c r="L31" s="228">
        <f t="shared" si="9"/>
        <v>0</v>
      </c>
      <c r="N31" s="40"/>
    </row>
    <row r="32" spans="1:16" ht="15.75" thickBot="1" x14ac:dyDescent="0.3">
      <c r="A32" s="2" t="s">
        <v>147</v>
      </c>
      <c r="B32" s="7">
        <v>2949925.8099999996</v>
      </c>
      <c r="C32" s="7">
        <v>2118108.0299999998</v>
      </c>
      <c r="D32" s="7">
        <v>2546342</v>
      </c>
      <c r="E32" s="7">
        <v>3509280</v>
      </c>
      <c r="F32" s="7">
        <v>4013630</v>
      </c>
      <c r="G32" s="7">
        <v>3334773</v>
      </c>
      <c r="H32" s="7">
        <v>3211607</v>
      </c>
      <c r="I32" s="228">
        <f t="shared" si="6"/>
        <v>1.3428001569395309E-2</v>
      </c>
      <c r="J32" s="229">
        <f t="shared" si="7"/>
        <v>-123166</v>
      </c>
      <c r="K32" s="228" t="str">
        <f t="shared" si="8"/>
        <v>▼</v>
      </c>
      <c r="L32" s="228">
        <f t="shared" si="9"/>
        <v>-3.6933848270931824E-2</v>
      </c>
      <c r="N32" s="40"/>
    </row>
    <row r="33" spans="1:14" ht="15.75" thickBot="1" x14ac:dyDescent="0.3">
      <c r="A33" s="4" t="s">
        <v>81</v>
      </c>
      <c r="B33" s="104">
        <f t="shared" ref="B33:H33" si="16">SUM(B29:B32)</f>
        <v>74927615.74000001</v>
      </c>
      <c r="C33" s="104">
        <f t="shared" si="16"/>
        <v>67784319.150000006</v>
      </c>
      <c r="D33" s="104">
        <f t="shared" si="16"/>
        <v>88827897</v>
      </c>
      <c r="E33" s="104">
        <f t="shared" si="16"/>
        <v>99543850</v>
      </c>
      <c r="F33" s="104">
        <f t="shared" si="16"/>
        <v>69078926</v>
      </c>
      <c r="G33" s="104">
        <f t="shared" si="16"/>
        <v>81444885</v>
      </c>
      <c r="H33" s="104">
        <f t="shared" si="16"/>
        <v>81728944</v>
      </c>
      <c r="I33" s="230">
        <f t="shared" si="6"/>
        <v>0.34171565459192899</v>
      </c>
      <c r="J33" s="231">
        <f t="shared" si="7"/>
        <v>284059</v>
      </c>
      <c r="K33" s="232" t="str">
        <f t="shared" si="8"/>
        <v>▲</v>
      </c>
      <c r="L33" s="230">
        <f t="shared" si="9"/>
        <v>3.4877451174497587E-3</v>
      </c>
      <c r="N33" s="40"/>
    </row>
    <row r="34" spans="1:14" ht="15.75" thickBot="1" x14ac:dyDescent="0.3">
      <c r="A34" s="4" t="s">
        <v>12</v>
      </c>
      <c r="B34" s="104">
        <f t="shared" ref="B34:H34" si="17">B33+B28</f>
        <v>109140652.72000001</v>
      </c>
      <c r="C34" s="104">
        <f t="shared" si="17"/>
        <v>93141638.680000007</v>
      </c>
      <c r="D34" s="104">
        <f t="shared" si="17"/>
        <v>109877989</v>
      </c>
      <c r="E34" s="104">
        <f t="shared" si="17"/>
        <v>119844461</v>
      </c>
      <c r="F34" s="104">
        <f t="shared" si="17"/>
        <v>90318109</v>
      </c>
      <c r="G34" s="104">
        <f t="shared" si="17"/>
        <v>94615546</v>
      </c>
      <c r="H34" s="104">
        <f t="shared" si="17"/>
        <v>96518924</v>
      </c>
      <c r="I34" s="230">
        <f t="shared" si="6"/>
        <v>0.40355381681144253</v>
      </c>
      <c r="J34" s="231">
        <f t="shared" si="7"/>
        <v>1903378</v>
      </c>
      <c r="K34" s="232" t="str">
        <f t="shared" si="8"/>
        <v>▲</v>
      </c>
      <c r="L34" s="230">
        <f t="shared" si="9"/>
        <v>2.011696893869841E-2</v>
      </c>
      <c r="N34" s="40"/>
    </row>
    <row r="35" spans="1:14" ht="15.75" thickBot="1" x14ac:dyDescent="0.3">
      <c r="A35" s="4" t="s">
        <v>13</v>
      </c>
      <c r="B35" s="104">
        <f t="shared" ref="B35:H35" si="18">B34+B22</f>
        <v>246194904.52000004</v>
      </c>
      <c r="C35" s="104">
        <f t="shared" si="18"/>
        <v>231354180.92000002</v>
      </c>
      <c r="D35" s="104">
        <f t="shared" si="18"/>
        <v>244022870</v>
      </c>
      <c r="E35" s="104">
        <f t="shared" si="18"/>
        <v>280067418</v>
      </c>
      <c r="F35" s="104">
        <f t="shared" si="18"/>
        <v>241134252</v>
      </c>
      <c r="G35" s="104">
        <f t="shared" si="18"/>
        <v>236984161</v>
      </c>
      <c r="H35" s="104">
        <f t="shared" si="18"/>
        <v>239172373</v>
      </c>
      <c r="I35" s="230">
        <f t="shared" si="6"/>
        <v>1</v>
      </c>
      <c r="J35" s="231">
        <f t="shared" si="7"/>
        <v>2188212</v>
      </c>
      <c r="K35" s="232" t="str">
        <f t="shared" si="8"/>
        <v>▲</v>
      </c>
      <c r="L35" s="230">
        <f t="shared" si="9"/>
        <v>9.2335791167073022E-3</v>
      </c>
      <c r="N35" s="40"/>
    </row>
    <row r="37" spans="1:14" x14ac:dyDescent="0.25">
      <c r="A37" s="10" t="s">
        <v>23</v>
      </c>
      <c r="B37" s="12">
        <f t="shared" ref="B37:G37" si="19">B35-B17</f>
        <v>-0.99999994039535522</v>
      </c>
      <c r="C37" s="12">
        <f t="shared" si="19"/>
        <v>-9.9999904632568359E-3</v>
      </c>
      <c r="D37" s="12">
        <f t="shared" si="19"/>
        <v>0</v>
      </c>
      <c r="E37" s="12">
        <f t="shared" si="19"/>
        <v>0</v>
      </c>
      <c r="F37" s="12">
        <f t="shared" si="19"/>
        <v>0</v>
      </c>
      <c r="G37" s="12">
        <f t="shared" si="19"/>
        <v>0</v>
      </c>
      <c r="H37" s="12">
        <f>H35-H17</f>
        <v>0</v>
      </c>
    </row>
  </sheetData>
  <mergeCells count="1">
    <mergeCell ref="J3:L3"/>
  </mergeCells>
  <conditionalFormatting sqref="K4:K35">
    <cfRule type="expression" dxfId="21" priority="1">
      <formula>H4=G4</formula>
    </cfRule>
    <cfRule type="expression" dxfId="20" priority="2">
      <formula>H4&lt;G4</formula>
    </cfRule>
    <cfRule type="expression" dxfId="19" priority="3">
      <formula>H4&gt;G4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8"/>
  <sheetViews>
    <sheetView showGridLines="0" zoomScale="95" zoomScaleNormal="95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O7" sqref="O7"/>
    </sheetView>
  </sheetViews>
  <sheetFormatPr defaultColWidth="9.140625" defaultRowHeight="15" x14ac:dyDescent="0.25"/>
  <cols>
    <col min="1" max="1" width="58.85546875" style="148" customWidth="1"/>
    <col min="2" max="3" width="14.42578125" style="36" bestFit="1" customWidth="1"/>
    <col min="4" max="4" width="14" style="36" bestFit="1" customWidth="1"/>
    <col min="5" max="5" width="14.42578125" style="36" customWidth="1"/>
    <col min="6" max="6" width="14.42578125" style="36" bestFit="1" customWidth="1"/>
    <col min="7" max="8" width="14.140625" style="36" customWidth="1"/>
    <col min="9" max="9" width="2.85546875" style="36" customWidth="1"/>
    <col min="10" max="10" width="12.42578125" style="36" customWidth="1"/>
    <col min="11" max="11" width="7.5703125" style="36" bestFit="1" customWidth="1"/>
    <col min="12" max="12" width="1.5703125" style="60" customWidth="1"/>
    <col min="13" max="13" width="8.140625" style="60" customWidth="1"/>
    <col min="14" max="14" width="6.85546875" style="60" customWidth="1"/>
    <col min="15" max="15" width="13.85546875" style="60" bestFit="1" customWidth="1"/>
    <col min="16" max="17" width="7.85546875" style="60" customWidth="1"/>
    <col min="18" max="18" width="7.42578125" style="61" customWidth="1"/>
    <col min="19" max="19" width="9.140625" style="60"/>
    <col min="20" max="20" width="3.42578125" style="60" customWidth="1"/>
    <col min="21" max="21" width="14.5703125" style="60" customWidth="1"/>
    <col min="22" max="16384" width="9.140625" style="60"/>
  </cols>
  <sheetData>
    <row r="1" spans="1:18" x14ac:dyDescent="0.25">
      <c r="B1" s="149"/>
      <c r="C1" s="149"/>
      <c r="D1" s="149"/>
      <c r="E1" s="149"/>
      <c r="F1" s="149"/>
      <c r="G1" s="149"/>
      <c r="H1" s="149"/>
      <c r="I1" s="149"/>
    </row>
    <row r="2" spans="1:18" x14ac:dyDescent="0.25">
      <c r="A2" s="150"/>
      <c r="B2" s="149"/>
      <c r="C2" s="149"/>
      <c r="D2" s="149"/>
      <c r="E2" s="149"/>
      <c r="F2" s="149"/>
      <c r="G2" s="149"/>
      <c r="I2" s="151"/>
      <c r="J2" s="152"/>
      <c r="K2" s="151"/>
    </row>
    <row r="3" spans="1:18" s="63" customFormat="1" ht="25.5" customHeight="1" x14ac:dyDescent="0.25">
      <c r="A3" s="153" t="s">
        <v>0</v>
      </c>
      <c r="B3" s="106">
        <v>2019</v>
      </c>
      <c r="C3" s="106">
        <f>B3+1</f>
        <v>2020</v>
      </c>
      <c r="D3" s="106">
        <f t="shared" ref="D3:H3" si="0">C3+1</f>
        <v>2021</v>
      </c>
      <c r="E3" s="106">
        <f t="shared" si="0"/>
        <v>2022</v>
      </c>
      <c r="F3" s="106">
        <f t="shared" si="0"/>
        <v>2023</v>
      </c>
      <c r="G3" s="106">
        <f t="shared" si="0"/>
        <v>2024</v>
      </c>
      <c r="H3" s="106">
        <f t="shared" si="0"/>
        <v>2025</v>
      </c>
      <c r="I3" s="244" t="str">
        <f>CONCATENATE(H3," vs. ",G3)</f>
        <v>2025 vs. 2024</v>
      </c>
      <c r="J3" s="244"/>
      <c r="K3" s="244"/>
      <c r="R3" s="64"/>
    </row>
    <row r="4" spans="1:18" x14ac:dyDescent="0.25">
      <c r="A4" s="6" t="s">
        <v>148</v>
      </c>
      <c r="B4" s="6">
        <v>183857279.62999997</v>
      </c>
      <c r="C4" s="6">
        <v>181146471.98999998</v>
      </c>
      <c r="D4" s="6">
        <v>264737647</v>
      </c>
      <c r="E4" s="6">
        <v>262801054</v>
      </c>
      <c r="F4" s="6">
        <v>214230854</v>
      </c>
      <c r="G4" s="6">
        <v>225633834</v>
      </c>
      <c r="H4" s="107">
        <v>194436269</v>
      </c>
      <c r="I4" s="102" t="str">
        <f>IF(H4+G4&gt;0,IF(H4&gt;G4,"▲",IF(H4=G4,"▬","▼")),IF(H4&gt;G4,"▼",IF(H4=G4,"▬","▲")))</f>
        <v>▼</v>
      </c>
      <c r="J4" s="6">
        <f>H4-G4</f>
        <v>-31197565</v>
      </c>
      <c r="K4" s="154">
        <f>H4/G4-1</f>
        <v>-0.13826634262661153</v>
      </c>
      <c r="P4" s="65"/>
    </row>
    <row r="5" spans="1:18" x14ac:dyDescent="0.25">
      <c r="A5" s="7" t="s">
        <v>22</v>
      </c>
      <c r="B5" s="7">
        <v>4140236.81</v>
      </c>
      <c r="C5" s="7">
        <v>3967550.28</v>
      </c>
      <c r="D5" s="7">
        <v>4459406</v>
      </c>
      <c r="E5" s="7">
        <v>4454249</v>
      </c>
      <c r="F5" s="7">
        <v>4303986</v>
      </c>
      <c r="G5" s="7">
        <v>3994432</v>
      </c>
      <c r="H5" s="108">
        <v>3542005</v>
      </c>
      <c r="I5" s="102" t="str">
        <f t="shared" ref="I5:I22" si="1">IF(H5+G5&gt;0,IF(H5&gt;G5,"▲",IF(H5=G5,"▬","▼")),IF(H5&gt;G5,"▼",IF(H5=G5,"▬","▲")))</f>
        <v>▼</v>
      </c>
      <c r="J5" s="7">
        <f t="shared" ref="J5:J22" si="2">H5-G5</f>
        <v>-452427</v>
      </c>
      <c r="K5" s="154">
        <f t="shared" ref="K5:K22" si="3">H5/G5-1</f>
        <v>-0.11326441406437759</v>
      </c>
      <c r="P5" s="65"/>
    </row>
    <row r="6" spans="1:18" x14ac:dyDescent="0.25">
      <c r="A6" s="7" t="s">
        <v>149</v>
      </c>
      <c r="B6" s="7">
        <v>3560611</v>
      </c>
      <c r="C6" s="7">
        <v>-843348.13000001945</v>
      </c>
      <c r="D6" s="7">
        <v>872217</v>
      </c>
      <c r="E6" s="7">
        <v>7447653</v>
      </c>
      <c r="F6" s="7">
        <v>485526</v>
      </c>
      <c r="G6" s="7">
        <v>2705618</v>
      </c>
      <c r="H6" s="108">
        <v>-1422786</v>
      </c>
      <c r="I6" s="102" t="str">
        <f t="shared" si="1"/>
        <v>▼</v>
      </c>
      <c r="J6" s="7">
        <f t="shared" si="2"/>
        <v>-4128404</v>
      </c>
      <c r="K6" s="154">
        <f t="shared" si="3"/>
        <v>-1.5258635919778771</v>
      </c>
      <c r="P6" s="65"/>
    </row>
    <row r="7" spans="1:18" x14ac:dyDescent="0.25">
      <c r="A7" s="7" t="s">
        <v>150</v>
      </c>
      <c r="B7" s="7">
        <v>-123157910.96999998</v>
      </c>
      <c r="C7" s="7">
        <v>-117623988.00999999</v>
      </c>
      <c r="D7" s="7">
        <v>-197945281</v>
      </c>
      <c r="E7" s="7">
        <v>-199065784</v>
      </c>
      <c r="F7" s="7">
        <v>-148776840</v>
      </c>
      <c r="G7" s="7">
        <v>-159392433</v>
      </c>
      <c r="H7" s="108">
        <v>-124766147</v>
      </c>
      <c r="I7" s="102" t="str">
        <f t="shared" si="1"/>
        <v>▼</v>
      </c>
      <c r="J7" s="7">
        <f t="shared" si="2"/>
        <v>34626286</v>
      </c>
      <c r="K7" s="154">
        <f t="shared" si="3"/>
        <v>-0.21723920858903012</v>
      </c>
      <c r="P7" s="65"/>
    </row>
    <row r="8" spans="1:18" x14ac:dyDescent="0.25">
      <c r="A8" s="7" t="s">
        <v>151</v>
      </c>
      <c r="B8" s="7">
        <v>-38593735.280000001</v>
      </c>
      <c r="C8" s="7">
        <v>-37639734.170000002</v>
      </c>
      <c r="D8" s="7">
        <v>-40568395</v>
      </c>
      <c r="E8" s="7">
        <v>-42312860</v>
      </c>
      <c r="F8" s="7">
        <v>-47111543</v>
      </c>
      <c r="G8" s="7">
        <v>-53544515</v>
      </c>
      <c r="H8" s="108">
        <v>-48010063</v>
      </c>
      <c r="I8" s="102" t="str">
        <f t="shared" si="1"/>
        <v>▼</v>
      </c>
      <c r="J8" s="7">
        <f t="shared" si="2"/>
        <v>5534452</v>
      </c>
      <c r="K8" s="154">
        <f t="shared" si="3"/>
        <v>-0.10336169820568919</v>
      </c>
      <c r="P8" s="65"/>
    </row>
    <row r="9" spans="1:18" x14ac:dyDescent="0.25">
      <c r="A9" s="7" t="s">
        <v>152</v>
      </c>
      <c r="B9" s="7">
        <v>-10634489.470000001</v>
      </c>
      <c r="C9" s="7">
        <v>-10202832.52</v>
      </c>
      <c r="D9" s="7">
        <v>-9977583</v>
      </c>
      <c r="E9" s="7">
        <v>-9609158</v>
      </c>
      <c r="F9" s="7">
        <v>-9392805</v>
      </c>
      <c r="G9" s="7">
        <v>-9829769</v>
      </c>
      <c r="H9" s="108">
        <v>-9083643</v>
      </c>
      <c r="I9" s="102" t="str">
        <f t="shared" si="1"/>
        <v>▼</v>
      </c>
      <c r="J9" s="7">
        <f t="shared" si="2"/>
        <v>746126</v>
      </c>
      <c r="K9" s="154">
        <f t="shared" si="3"/>
        <v>-7.5904733875231445E-2</v>
      </c>
      <c r="P9" s="65"/>
    </row>
    <row r="10" spans="1:18" x14ac:dyDescent="0.25">
      <c r="A10" s="7" t="s">
        <v>153</v>
      </c>
      <c r="B10" s="7">
        <v>-15482186.07</v>
      </c>
      <c r="C10" s="7">
        <v>-15084037.750000002</v>
      </c>
      <c r="D10" s="7">
        <v>-15900695</v>
      </c>
      <c r="E10" s="7">
        <v>-18863784</v>
      </c>
      <c r="F10" s="7">
        <v>-16469733</v>
      </c>
      <c r="G10" s="7">
        <v>-17149321</v>
      </c>
      <c r="H10" s="108">
        <v>-16811549</v>
      </c>
      <c r="I10" s="102" t="str">
        <f t="shared" si="1"/>
        <v>▼</v>
      </c>
      <c r="J10" s="7">
        <f t="shared" si="2"/>
        <v>337772</v>
      </c>
      <c r="K10" s="154">
        <f t="shared" si="3"/>
        <v>-1.9695940148300894E-2</v>
      </c>
      <c r="P10" s="65"/>
    </row>
    <row r="11" spans="1:18" x14ac:dyDescent="0.25">
      <c r="A11" s="7" t="s">
        <v>154</v>
      </c>
      <c r="B11" s="7">
        <v>-253283.14000000185</v>
      </c>
      <c r="C11" s="7">
        <v>-524438.68000000087</v>
      </c>
      <c r="D11" s="7">
        <v>1883115</v>
      </c>
      <c r="E11" s="7">
        <v>1769858</v>
      </c>
      <c r="F11" s="7">
        <v>4863752</v>
      </c>
      <c r="G11" s="7">
        <v>380896</v>
      </c>
      <c r="H11" s="108">
        <v>5389817</v>
      </c>
      <c r="I11" s="102" t="str">
        <f t="shared" si="1"/>
        <v>▲</v>
      </c>
      <c r="J11" s="7">
        <f t="shared" si="2"/>
        <v>5008921</v>
      </c>
      <c r="K11" s="154">
        <f t="shared" si="3"/>
        <v>13.150363878854071</v>
      </c>
      <c r="P11" s="65"/>
    </row>
    <row r="12" spans="1:18" x14ac:dyDescent="0.25">
      <c r="A12" s="155" t="s">
        <v>155</v>
      </c>
      <c r="B12" s="109">
        <f>SUM(B4:B11)+1</f>
        <v>3436523.5099999816</v>
      </c>
      <c r="C12" s="109">
        <f t="shared" ref="C12:H12" si="4">SUM(C4:C11)</f>
        <v>3195643.0099999616</v>
      </c>
      <c r="D12" s="109">
        <f t="shared" si="4"/>
        <v>7560431</v>
      </c>
      <c r="E12" s="109">
        <f t="shared" si="4"/>
        <v>6621228</v>
      </c>
      <c r="F12" s="109">
        <f t="shared" si="4"/>
        <v>2133197</v>
      </c>
      <c r="G12" s="109">
        <f t="shared" si="4"/>
        <v>-7201258</v>
      </c>
      <c r="H12" s="110">
        <f t="shared" si="4"/>
        <v>3273903</v>
      </c>
      <c r="I12" s="104" t="str">
        <f t="shared" si="1"/>
        <v>▼</v>
      </c>
      <c r="J12" s="109">
        <f>SUM(J4:J11)</f>
        <v>10475161</v>
      </c>
      <c r="K12" s="156">
        <f t="shared" si="3"/>
        <v>-1.4546293161555939</v>
      </c>
      <c r="P12" s="65"/>
    </row>
    <row r="13" spans="1:18" x14ac:dyDescent="0.25">
      <c r="A13" s="7" t="s">
        <v>156</v>
      </c>
      <c r="B13" s="7">
        <v>86398.37</v>
      </c>
      <c r="C13" s="7">
        <v>105139.08</v>
      </c>
      <c r="D13" s="7">
        <v>128719</v>
      </c>
      <c r="E13" s="7">
        <v>47336583</v>
      </c>
      <c r="F13" s="7">
        <v>3386552</v>
      </c>
      <c r="G13" s="7">
        <v>1256644</v>
      </c>
      <c r="H13" s="108">
        <v>2287321</v>
      </c>
      <c r="I13" s="102" t="str">
        <f t="shared" si="1"/>
        <v>▲</v>
      </c>
      <c r="J13" s="7">
        <f t="shared" si="2"/>
        <v>1030677</v>
      </c>
      <c r="K13" s="154">
        <f t="shared" si="3"/>
        <v>0.82018216774201758</v>
      </c>
      <c r="P13" s="65"/>
    </row>
    <row r="14" spans="1:18" x14ac:dyDescent="0.25">
      <c r="A14" s="7" t="s">
        <v>157</v>
      </c>
      <c r="B14" s="7">
        <v>-2935381.92</v>
      </c>
      <c r="C14" s="7">
        <v>-2303518.65</v>
      </c>
      <c r="D14" s="7">
        <v>-1769889</v>
      </c>
      <c r="E14" s="7">
        <v>-1574050</v>
      </c>
      <c r="F14" s="7">
        <v>-2081299</v>
      </c>
      <c r="G14" s="7">
        <v>-2386479</v>
      </c>
      <c r="H14" s="108">
        <v>-3723867</v>
      </c>
      <c r="I14" s="102" t="str">
        <f t="shared" ref="I14:I16" si="5">IF(H14+G14&gt;0,IF(H14&gt;G14,"▲",IF(H14=G14,"▬","▼")),IF(H14&gt;G14,"▼",IF(H14=G14,"▬","▲")))</f>
        <v>▲</v>
      </c>
      <c r="J14" s="7">
        <f t="shared" ref="J14:J16" si="6">H14-G14</f>
        <v>-1337388</v>
      </c>
      <c r="K14" s="154">
        <f t="shared" ref="K14:K16" si="7">H14/G14-1</f>
        <v>0.56040216570101808</v>
      </c>
      <c r="P14" s="65"/>
    </row>
    <row r="15" spans="1:18" x14ac:dyDescent="0.25">
      <c r="A15" s="7" t="s">
        <v>172</v>
      </c>
      <c r="B15" s="7"/>
      <c r="C15" s="7"/>
      <c r="D15" s="7"/>
      <c r="E15" s="7"/>
      <c r="F15" s="7">
        <v>57882</v>
      </c>
      <c r="G15" s="7">
        <v>782307</v>
      </c>
      <c r="H15" s="108">
        <v>-52347</v>
      </c>
      <c r="I15" s="102"/>
      <c r="J15" s="7"/>
      <c r="K15" s="154"/>
      <c r="P15" s="65"/>
    </row>
    <row r="16" spans="1:18" x14ac:dyDescent="0.25">
      <c r="A16" s="7" t="s">
        <v>158</v>
      </c>
      <c r="B16" s="7">
        <v>0</v>
      </c>
      <c r="C16" s="7">
        <v>110138</v>
      </c>
      <c r="D16" s="7">
        <v>-6477632</v>
      </c>
      <c r="E16" s="7">
        <v>0</v>
      </c>
      <c r="F16" s="7">
        <v>0</v>
      </c>
      <c r="G16" s="7">
        <v>-97950</v>
      </c>
      <c r="H16" s="108">
        <v>-8202</v>
      </c>
      <c r="I16" s="102" t="str">
        <f t="shared" si="5"/>
        <v>▼</v>
      </c>
      <c r="J16" s="7">
        <f t="shared" si="6"/>
        <v>89748</v>
      </c>
      <c r="K16" s="154">
        <f t="shared" si="7"/>
        <v>-0.91626339969372128</v>
      </c>
      <c r="P16" s="65"/>
    </row>
    <row r="17" spans="1:21" x14ac:dyDescent="0.25">
      <c r="A17" s="155" t="s">
        <v>14</v>
      </c>
      <c r="B17" s="109">
        <f t="shared" ref="B17" si="8">SUM(B12:B16)</f>
        <v>587539.9599999818</v>
      </c>
      <c r="C17" s="109">
        <f>SUM(C12:C16)+1</f>
        <v>1107402.4399999618</v>
      </c>
      <c r="D17" s="109">
        <f>SUM(D12:D16)</f>
        <v>-558371</v>
      </c>
      <c r="E17" s="109">
        <f>SUM(E12:E16)</f>
        <v>52383761</v>
      </c>
      <c r="F17" s="109">
        <f>SUM(F12:F16)</f>
        <v>3496332</v>
      </c>
      <c r="G17" s="109">
        <f>SUM(G12:G16)</f>
        <v>-7646736</v>
      </c>
      <c r="H17" s="110">
        <f>SUM(H12:H16)</f>
        <v>1776808</v>
      </c>
      <c r="I17" s="104" t="str">
        <f t="shared" si="1"/>
        <v>▼</v>
      </c>
      <c r="J17" s="109">
        <f t="shared" si="2"/>
        <v>9423544</v>
      </c>
      <c r="K17" s="156">
        <f t="shared" si="3"/>
        <v>-1.2323616246199687</v>
      </c>
      <c r="P17" s="65"/>
    </row>
    <row r="18" spans="1:21" x14ac:dyDescent="0.25">
      <c r="A18" s="7" t="s">
        <v>15</v>
      </c>
      <c r="B18" s="7">
        <v>-217442</v>
      </c>
      <c r="C18" s="7">
        <v>-238297</v>
      </c>
      <c r="D18" s="7">
        <v>-889087</v>
      </c>
      <c r="E18" s="7">
        <v>-912071</v>
      </c>
      <c r="F18" s="7">
        <v>-182523</v>
      </c>
      <c r="G18" s="7">
        <v>1653756</v>
      </c>
      <c r="H18" s="108">
        <v>126811</v>
      </c>
      <c r="I18" s="102" t="str">
        <f t="shared" si="1"/>
        <v>▼</v>
      </c>
      <c r="J18" s="7">
        <f t="shared" si="2"/>
        <v>-1526945</v>
      </c>
      <c r="K18" s="154">
        <f t="shared" si="3"/>
        <v>-0.92331940141109081</v>
      </c>
      <c r="P18" s="65"/>
    </row>
    <row r="19" spans="1:21" x14ac:dyDescent="0.25">
      <c r="A19" s="155" t="s">
        <v>16</v>
      </c>
      <c r="B19" s="109">
        <f t="shared" ref="B19:G19" si="9">B17+B18</f>
        <v>370097.9599999818</v>
      </c>
      <c r="C19" s="109">
        <f t="shared" si="9"/>
        <v>869105.43999996176</v>
      </c>
      <c r="D19" s="109">
        <f t="shared" si="9"/>
        <v>-1447458</v>
      </c>
      <c r="E19" s="109">
        <f t="shared" si="9"/>
        <v>51471690</v>
      </c>
      <c r="F19" s="109">
        <f t="shared" si="9"/>
        <v>3313809</v>
      </c>
      <c r="G19" s="109">
        <f t="shared" si="9"/>
        <v>-5992980</v>
      </c>
      <c r="H19" s="110">
        <f t="shared" ref="H19" si="10">H17+H18</f>
        <v>1903619</v>
      </c>
      <c r="I19" s="104" t="str">
        <f t="shared" si="1"/>
        <v>▼</v>
      </c>
      <c r="J19" s="109">
        <f t="shared" si="2"/>
        <v>7896599</v>
      </c>
      <c r="K19" s="156">
        <f t="shared" si="3"/>
        <v>-1.3176414738577469</v>
      </c>
      <c r="P19" s="65"/>
    </row>
    <row r="20" spans="1:21" x14ac:dyDescent="0.25">
      <c r="A20" s="7" t="s">
        <v>17</v>
      </c>
      <c r="B20" s="102"/>
      <c r="C20" s="102"/>
      <c r="D20" s="102"/>
      <c r="E20" s="102">
        <v>745264</v>
      </c>
      <c r="F20" s="102"/>
      <c r="G20" s="102"/>
      <c r="H20" s="108"/>
      <c r="I20" s="102" t="str">
        <f t="shared" si="1"/>
        <v>▬</v>
      </c>
      <c r="J20" s="7">
        <f t="shared" si="2"/>
        <v>0</v>
      </c>
      <c r="K20" s="154"/>
    </row>
    <row r="21" spans="1:21" ht="30" x14ac:dyDescent="0.25">
      <c r="A21" s="103" t="s">
        <v>18</v>
      </c>
      <c r="B21" s="111">
        <v>74009</v>
      </c>
      <c r="C21" s="111">
        <v>289186</v>
      </c>
      <c r="D21" s="111">
        <v>21016.697074381635</v>
      </c>
      <c r="E21" s="111">
        <v>273332</v>
      </c>
      <c r="F21" s="111">
        <v>485482</v>
      </c>
      <c r="G21" s="111">
        <v>186674</v>
      </c>
      <c r="H21" s="112">
        <v>0</v>
      </c>
      <c r="I21" s="102" t="str">
        <f t="shared" si="1"/>
        <v>▼</v>
      </c>
      <c r="J21" s="7">
        <f t="shared" si="2"/>
        <v>-186674</v>
      </c>
      <c r="K21" s="154">
        <f t="shared" si="3"/>
        <v>-1</v>
      </c>
    </row>
    <row r="22" spans="1:21" x14ac:dyDescent="0.25">
      <c r="A22" s="155" t="s">
        <v>19</v>
      </c>
      <c r="B22" s="109">
        <f t="shared" ref="B22:G22" si="11">B19+B20+B21</f>
        <v>444106.9599999818</v>
      </c>
      <c r="C22" s="109">
        <f t="shared" si="11"/>
        <v>1158291.4399999618</v>
      </c>
      <c r="D22" s="109">
        <f t="shared" si="11"/>
        <v>-1426441.3029256184</v>
      </c>
      <c r="E22" s="109">
        <f t="shared" si="11"/>
        <v>52490286</v>
      </c>
      <c r="F22" s="109">
        <f t="shared" si="11"/>
        <v>3799291</v>
      </c>
      <c r="G22" s="109">
        <f t="shared" si="11"/>
        <v>-5806306</v>
      </c>
      <c r="H22" s="110">
        <f t="shared" ref="H22" si="12">H19+H20+H21</f>
        <v>1903619</v>
      </c>
      <c r="I22" s="104" t="str">
        <f t="shared" si="1"/>
        <v>▼</v>
      </c>
      <c r="J22" s="109">
        <f t="shared" si="2"/>
        <v>7709925</v>
      </c>
      <c r="K22" s="156">
        <f t="shared" si="3"/>
        <v>-1.3278537162870852</v>
      </c>
    </row>
    <row r="23" spans="1:21" ht="7.5" customHeight="1" x14ac:dyDescent="0.25"/>
    <row r="24" spans="1:21" ht="15.75" customHeight="1" x14ac:dyDescent="0.25">
      <c r="A24" s="157" t="s">
        <v>21</v>
      </c>
      <c r="E24" s="158"/>
      <c r="F24" s="158"/>
      <c r="G24" s="158"/>
      <c r="H24" s="158"/>
      <c r="M24" s="134" t="s">
        <v>72</v>
      </c>
      <c r="N24" s="134"/>
      <c r="O24" s="134"/>
    </row>
    <row r="25" spans="1:21" ht="6.75" customHeight="1" x14ac:dyDescent="0.25"/>
    <row r="26" spans="1:21" s="63" customFormat="1" ht="18.75" customHeight="1" x14ac:dyDescent="0.25">
      <c r="A26" s="153" t="s">
        <v>0</v>
      </c>
      <c r="B26" s="106">
        <f t="shared" ref="B26:G26" si="13">B3</f>
        <v>2019</v>
      </c>
      <c r="C26" s="106">
        <f t="shared" si="13"/>
        <v>2020</v>
      </c>
      <c r="D26" s="106">
        <f t="shared" si="13"/>
        <v>2021</v>
      </c>
      <c r="E26" s="106">
        <f t="shared" si="13"/>
        <v>2022</v>
      </c>
      <c r="F26" s="106">
        <f t="shared" si="13"/>
        <v>2023</v>
      </c>
      <c r="G26" s="106">
        <f t="shared" si="13"/>
        <v>2024</v>
      </c>
      <c r="H26" s="106">
        <f t="shared" ref="H26" si="14">H3</f>
        <v>2025</v>
      </c>
      <c r="I26" s="244" t="str">
        <f>CONCATENATE(H26," vs. ",G26)</f>
        <v>2025 vs. 2024</v>
      </c>
      <c r="J26" s="244"/>
      <c r="K26" s="244"/>
      <c r="M26" s="62">
        <f t="shared" ref="M26:S26" si="15">B3</f>
        <v>2019</v>
      </c>
      <c r="N26" s="62">
        <f t="shared" si="15"/>
        <v>2020</v>
      </c>
      <c r="O26" s="62">
        <f t="shared" si="15"/>
        <v>2021</v>
      </c>
      <c r="P26" s="62">
        <f t="shared" si="15"/>
        <v>2022</v>
      </c>
      <c r="Q26" s="62">
        <f t="shared" si="15"/>
        <v>2023</v>
      </c>
      <c r="R26" s="62">
        <f t="shared" si="15"/>
        <v>2024</v>
      </c>
      <c r="S26" s="62">
        <f t="shared" si="15"/>
        <v>2025</v>
      </c>
      <c r="U26" s="60"/>
    </row>
    <row r="27" spans="1:21" s="66" customFormat="1" x14ac:dyDescent="0.25">
      <c r="A27" s="159" t="s">
        <v>167</v>
      </c>
      <c r="B27" s="160">
        <v>139916137.94</v>
      </c>
      <c r="C27" s="160">
        <v>129838504.71999997</v>
      </c>
      <c r="D27" s="160">
        <v>169491035.27999997</v>
      </c>
      <c r="E27" s="160">
        <v>183306274.85999998</v>
      </c>
      <c r="F27" s="160">
        <v>153331408.29000008</v>
      </c>
      <c r="G27" s="160">
        <v>158936062.93000004</v>
      </c>
      <c r="H27" s="161">
        <v>144973980.76000002</v>
      </c>
      <c r="I27" s="102" t="str">
        <f t="shared" ref="I27:I32" si="16">IF(H27+G27&gt;0,IF(H27&gt;G27,"▲",IF(H27=G27,"▬","▼")),IF(H27&gt;G27,"▼",IF(H27=G27,"▬","▲")))</f>
        <v>▼</v>
      </c>
      <c r="J27" s="6">
        <f>H27-G27</f>
        <v>-13962082.170000017</v>
      </c>
      <c r="K27" s="154">
        <f>H27/G27-1</f>
        <v>-8.7847162642686771E-2</v>
      </c>
      <c r="M27" s="67">
        <f t="shared" ref="M27:S31" si="17">B27/B$32</f>
        <v>0.76100406872913107</v>
      </c>
      <c r="N27" s="67">
        <f t="shared" si="17"/>
        <v>0.71675977511525846</v>
      </c>
      <c r="O27" s="67">
        <f t="shared" si="17"/>
        <v>0.64022263977278404</v>
      </c>
      <c r="P27" s="67">
        <f t="shared" si="17"/>
        <v>0.69750966362676325</v>
      </c>
      <c r="Q27" s="67">
        <f t="shared" si="17"/>
        <v>0.71572980894765248</v>
      </c>
      <c r="R27" s="67">
        <f t="shared" si="17"/>
        <v>0.70439818277074862</v>
      </c>
      <c r="S27" s="68">
        <f t="shared" si="17"/>
        <v>0.74561182007158655</v>
      </c>
    </row>
    <row r="28" spans="1:21" s="66" customFormat="1" x14ac:dyDescent="0.25">
      <c r="A28" s="159" t="s">
        <v>88</v>
      </c>
      <c r="B28" s="162">
        <v>18643.099999999999</v>
      </c>
      <c r="C28" s="162">
        <v>17409.099999999999</v>
      </c>
      <c r="D28" s="162">
        <v>40937.800000000003</v>
      </c>
      <c r="E28" s="162">
        <v>68499.350000000006</v>
      </c>
      <c r="F28" s="162">
        <v>4377.54</v>
      </c>
      <c r="G28" s="162">
        <v>231369.25</v>
      </c>
      <c r="H28" s="161">
        <v>271461.92000000004</v>
      </c>
      <c r="I28" s="102" t="str">
        <f t="shared" si="16"/>
        <v>▲</v>
      </c>
      <c r="J28" s="6">
        <f t="shared" ref="J28:J32" si="18">H28-G28</f>
        <v>40092.670000000042</v>
      </c>
      <c r="K28" s="154">
        <f t="shared" ref="K28:K32" si="19">H28/G28-1</f>
        <v>0.17328434958405259</v>
      </c>
      <c r="M28" s="72">
        <f t="shared" si="17"/>
        <v>1.0139984681258179E-4</v>
      </c>
      <c r="N28" s="72">
        <f t="shared" si="17"/>
        <v>9.6105100931872834E-5</v>
      </c>
      <c r="O28" s="72">
        <f t="shared" si="17"/>
        <v>1.546353548386343E-4</v>
      </c>
      <c r="P28" s="72">
        <f t="shared" si="17"/>
        <v>2.6065097124276332E-4</v>
      </c>
      <c r="Q28" s="72">
        <f t="shared" si="17"/>
        <v>2.0433751328592229E-5</v>
      </c>
      <c r="R28" s="72">
        <f t="shared" si="17"/>
        <v>1.025419129205499E-3</v>
      </c>
      <c r="S28" s="68">
        <f t="shared" si="17"/>
        <v>1.3961485722489961E-3</v>
      </c>
    </row>
    <row r="29" spans="1:21" s="66" customFormat="1" x14ac:dyDescent="0.25">
      <c r="A29" s="159" t="s">
        <v>89</v>
      </c>
      <c r="B29" s="162">
        <v>286432.85000000003</v>
      </c>
      <c r="C29" s="162">
        <v>320970.99</v>
      </c>
      <c r="D29" s="162">
        <v>488677.3</v>
      </c>
      <c r="E29" s="162">
        <v>721836.0700000003</v>
      </c>
      <c r="F29" s="162">
        <v>425121.62000000011</v>
      </c>
      <c r="G29" s="162">
        <v>403436.57000000012</v>
      </c>
      <c r="H29" s="161">
        <v>542531.95000000007</v>
      </c>
      <c r="I29" s="102" t="str">
        <f t="shared" si="16"/>
        <v>▲</v>
      </c>
      <c r="J29" s="6">
        <f t="shared" si="18"/>
        <v>139095.37999999995</v>
      </c>
      <c r="K29" s="154">
        <f t="shared" si="19"/>
        <v>0.34477633001886732</v>
      </c>
      <c r="M29" s="72">
        <f t="shared" si="17"/>
        <v>1.5579086692712706E-3</v>
      </c>
      <c r="N29" s="72">
        <f t="shared" si="17"/>
        <v>1.7718865070654513E-3</v>
      </c>
      <c r="O29" s="72">
        <f t="shared" si="17"/>
        <v>1.8458927369591365E-3</v>
      </c>
      <c r="P29" s="72">
        <f t="shared" si="17"/>
        <v>2.7467015778041598E-3</v>
      </c>
      <c r="Q29" s="72">
        <f t="shared" si="17"/>
        <v>1.9844089300128116E-3</v>
      </c>
      <c r="R29" s="72">
        <f t="shared" si="17"/>
        <v>1.7880145105672145E-3</v>
      </c>
      <c r="S29" s="68">
        <f t="shared" si="17"/>
        <v>2.7902816254742604E-3</v>
      </c>
    </row>
    <row r="30" spans="1:21" s="66" customFormat="1" x14ac:dyDescent="0.25">
      <c r="A30" s="159" t="s">
        <v>90</v>
      </c>
      <c r="B30" s="162">
        <v>38612117.799999997</v>
      </c>
      <c r="C30" s="162">
        <v>45457832.159999996</v>
      </c>
      <c r="D30" s="162">
        <v>89734867.799999997</v>
      </c>
      <c r="E30" s="162">
        <v>71556260.069999978</v>
      </c>
      <c r="F30" s="162">
        <v>53057503.010000013</v>
      </c>
      <c r="G30" s="162">
        <v>60156404</v>
      </c>
      <c r="H30" s="161">
        <v>43539070.909999996</v>
      </c>
      <c r="I30" s="102" t="str">
        <f t="shared" si="16"/>
        <v>▼</v>
      </c>
      <c r="J30" s="6">
        <f t="shared" si="18"/>
        <v>-16617333.090000004</v>
      </c>
      <c r="K30" s="154">
        <f t="shared" si="19"/>
        <v>-0.27623547926834191</v>
      </c>
      <c r="M30" s="72">
        <f t="shared" si="17"/>
        <v>0.21001136238229492</v>
      </c>
      <c r="N30" s="72">
        <f t="shared" si="17"/>
        <v>0.25094516935860756</v>
      </c>
      <c r="O30" s="72">
        <f t="shared" si="17"/>
        <v>0.33895771447539774</v>
      </c>
      <c r="P30" s="72">
        <f t="shared" si="17"/>
        <v>0.27228300247732651</v>
      </c>
      <c r="Q30" s="72">
        <f t="shared" si="17"/>
        <v>0.24766508646919821</v>
      </c>
      <c r="R30" s="72">
        <f t="shared" si="17"/>
        <v>0.26661074194524209</v>
      </c>
      <c r="S30" s="68">
        <f t="shared" si="17"/>
        <v>0.22392463623643524</v>
      </c>
    </row>
    <row r="31" spans="1:21" s="66" customFormat="1" ht="15.75" thickBot="1" x14ac:dyDescent="0.3">
      <c r="A31" s="159" t="s">
        <v>91</v>
      </c>
      <c r="B31" s="162">
        <v>5023948.0399999991</v>
      </c>
      <c r="C31" s="162">
        <v>5511755.2900000028</v>
      </c>
      <c r="D31" s="162">
        <v>4982128.9300000006</v>
      </c>
      <c r="E31" s="162">
        <v>7148183.7700000098</v>
      </c>
      <c r="F31" s="162">
        <v>7412443.6600000029</v>
      </c>
      <c r="G31" s="162">
        <v>5906561.6600000001</v>
      </c>
      <c r="H31" s="116">
        <v>5109223.919999999</v>
      </c>
      <c r="I31" s="102" t="str">
        <f t="shared" si="16"/>
        <v>▼</v>
      </c>
      <c r="J31" s="6">
        <f t="shared" si="18"/>
        <v>-797337.74000000115</v>
      </c>
      <c r="K31" s="154">
        <f t="shared" si="19"/>
        <v>-0.13499185920629175</v>
      </c>
      <c r="M31" s="72">
        <f t="shared" si="17"/>
        <v>2.7325260372490116E-2</v>
      </c>
      <c r="N31" s="72">
        <f t="shared" si="17"/>
        <v>3.0427063918136741E-2</v>
      </c>
      <c r="O31" s="72">
        <f t="shared" si="17"/>
        <v>1.8819117660020215E-2</v>
      </c>
      <c r="P31" s="72">
        <f t="shared" si="17"/>
        <v>2.7199981346863293E-2</v>
      </c>
      <c r="Q31" s="72">
        <f t="shared" si="17"/>
        <v>3.4600261901807892E-2</v>
      </c>
      <c r="R31" s="72">
        <f t="shared" si="17"/>
        <v>2.6177641644236593E-2</v>
      </c>
      <c r="S31" s="68">
        <f t="shared" si="17"/>
        <v>2.6277113494255166E-2</v>
      </c>
    </row>
    <row r="32" spans="1:21" s="66" customFormat="1" ht="15.75" thickBot="1" x14ac:dyDescent="0.3">
      <c r="A32" s="163"/>
      <c r="B32" s="113">
        <f t="shared" ref="B32:G32" si="20">SUM(B27:B31)</f>
        <v>183857279.72999999</v>
      </c>
      <c r="C32" s="113">
        <f t="shared" si="20"/>
        <v>181146472.25999996</v>
      </c>
      <c r="D32" s="113">
        <f t="shared" si="20"/>
        <v>264737647.11000001</v>
      </c>
      <c r="E32" s="113">
        <f t="shared" si="20"/>
        <v>262801054.11999997</v>
      </c>
      <c r="F32" s="113">
        <f t="shared" si="20"/>
        <v>214230854.12000009</v>
      </c>
      <c r="G32" s="113">
        <f t="shared" si="20"/>
        <v>225633834.41000003</v>
      </c>
      <c r="H32" s="114">
        <f t="shared" ref="H32" si="21">SUM(H27:H31)</f>
        <v>194436269.45999998</v>
      </c>
      <c r="I32" s="164" t="str">
        <f t="shared" si="16"/>
        <v>▼</v>
      </c>
      <c r="J32" s="165">
        <f t="shared" si="18"/>
        <v>-31197564.950000048</v>
      </c>
      <c r="K32" s="166">
        <f t="shared" si="19"/>
        <v>-0.13826634215376954</v>
      </c>
      <c r="M32" s="73">
        <f t="shared" ref="M32:S32" si="22">SUM(M28:M31)</f>
        <v>0.23899593127086888</v>
      </c>
      <c r="N32" s="73">
        <f t="shared" si="22"/>
        <v>0.28324022488474165</v>
      </c>
      <c r="O32" s="74">
        <f t="shared" si="22"/>
        <v>0.35977736022721574</v>
      </c>
      <c r="P32" s="74">
        <f t="shared" si="22"/>
        <v>0.30249033637323675</v>
      </c>
      <c r="Q32" s="74">
        <f t="shared" si="22"/>
        <v>0.28427019105234752</v>
      </c>
      <c r="R32" s="74">
        <f t="shared" si="22"/>
        <v>0.29560181722925138</v>
      </c>
      <c r="S32" s="75">
        <f t="shared" si="22"/>
        <v>0.25438817992841367</v>
      </c>
    </row>
    <row r="33" spans="1:26" s="66" customFormat="1" x14ac:dyDescent="0.25">
      <c r="A33" s="167"/>
      <c r="B33" s="168">
        <f t="shared" ref="B33:G33" si="23">B32-B4</f>
        <v>0.10000002384185791</v>
      </c>
      <c r="C33" s="168">
        <f t="shared" si="23"/>
        <v>0.26999998092651367</v>
      </c>
      <c r="D33" s="168">
        <f t="shared" si="23"/>
        <v>0.11000001430511475</v>
      </c>
      <c r="E33" s="168">
        <f t="shared" si="23"/>
        <v>0.11999997496604919</v>
      </c>
      <c r="F33" s="168">
        <f t="shared" si="23"/>
        <v>0.12000009417533875</v>
      </c>
      <c r="G33" s="168">
        <f t="shared" si="23"/>
        <v>0.4100000262260437</v>
      </c>
      <c r="H33" s="168">
        <f t="shared" ref="H33" si="24">H32-H4</f>
        <v>0.45999997854232788</v>
      </c>
      <c r="I33" s="169"/>
      <c r="J33" s="170"/>
      <c r="K33" s="171"/>
      <c r="R33" s="61"/>
    </row>
    <row r="34" spans="1:26" ht="15.75" customHeight="1" x14ac:dyDescent="0.25">
      <c r="A34" s="145" t="s">
        <v>121</v>
      </c>
      <c r="F34" s="55"/>
      <c r="G34" s="55"/>
      <c r="M34" s="134" t="s">
        <v>72</v>
      </c>
      <c r="N34" s="134"/>
      <c r="O34" s="134"/>
      <c r="U34" s="246" t="s">
        <v>127</v>
      </c>
      <c r="V34" s="246"/>
      <c r="W34" s="247" t="s">
        <v>129</v>
      </c>
      <c r="X34" s="247"/>
      <c r="Y34" s="247"/>
      <c r="Z34" s="247"/>
    </row>
    <row r="35" spans="1:26" ht="6.75" customHeight="1" x14ac:dyDescent="0.25">
      <c r="M35" s="135"/>
      <c r="N35" s="135"/>
      <c r="O35" s="135"/>
    </row>
    <row r="36" spans="1:26" s="63" customFormat="1" ht="18.75" customHeight="1" x14ac:dyDescent="0.25">
      <c r="A36" s="153" t="s">
        <v>0</v>
      </c>
      <c r="B36" s="106">
        <f t="shared" ref="B36:G36" si="25">B3</f>
        <v>2019</v>
      </c>
      <c r="C36" s="106">
        <f t="shared" si="25"/>
        <v>2020</v>
      </c>
      <c r="D36" s="106">
        <f t="shared" si="25"/>
        <v>2021</v>
      </c>
      <c r="E36" s="106">
        <f t="shared" si="25"/>
        <v>2022</v>
      </c>
      <c r="F36" s="106">
        <f t="shared" si="25"/>
        <v>2023</v>
      </c>
      <c r="G36" s="106">
        <f t="shared" si="25"/>
        <v>2024</v>
      </c>
      <c r="H36" s="106">
        <f t="shared" ref="H36" si="26">H3</f>
        <v>2025</v>
      </c>
      <c r="I36" s="244" t="str">
        <f>CONCATENATE(H36," vs. ",G36)</f>
        <v>2025 vs. 2024</v>
      </c>
      <c r="J36" s="244"/>
      <c r="K36" s="244"/>
      <c r="M36" s="62">
        <f t="shared" ref="M36:S36" si="27">M26</f>
        <v>2019</v>
      </c>
      <c r="N36" s="62">
        <f t="shared" si="27"/>
        <v>2020</v>
      </c>
      <c r="O36" s="62">
        <f t="shared" si="27"/>
        <v>2021</v>
      </c>
      <c r="P36" s="62">
        <f t="shared" si="27"/>
        <v>2022</v>
      </c>
      <c r="Q36" s="62">
        <f t="shared" si="27"/>
        <v>2023</v>
      </c>
      <c r="R36" s="62">
        <f t="shared" si="27"/>
        <v>2024</v>
      </c>
      <c r="S36" s="62">
        <f t="shared" si="27"/>
        <v>2025</v>
      </c>
    </row>
    <row r="37" spans="1:26" s="66" customFormat="1" x14ac:dyDescent="0.25">
      <c r="A37" s="159" t="s">
        <v>122</v>
      </c>
      <c r="B37" s="172">
        <v>103347658.91</v>
      </c>
      <c r="C37" s="172">
        <v>101171874.89999998</v>
      </c>
      <c r="D37" s="172">
        <v>125387822.75</v>
      </c>
      <c r="E37" s="172">
        <v>127314643.90000001</v>
      </c>
      <c r="F37" s="172">
        <v>109074941.45000003</v>
      </c>
      <c r="G37" s="172">
        <v>117962247.67000003</v>
      </c>
      <c r="H37" s="126">
        <v>112705448.75</v>
      </c>
      <c r="I37" s="102" t="str">
        <f t="shared" ref="I37:I41" si="28">IF(H37+G37&gt;0,IF(H37&gt;G37,"▲",IF(H37=G37,"▬","▼")),IF(H37&gt;G37,"▼",IF(H37=G37,"▬","▲")))</f>
        <v>▼</v>
      </c>
      <c r="J37" s="6">
        <f>H37-G37</f>
        <v>-5256798.9200000316</v>
      </c>
      <c r="K37" s="154">
        <f>H37/G37-1</f>
        <v>-4.4563400781459817E-2</v>
      </c>
      <c r="M37" s="67">
        <f>B37/B$32</f>
        <v>0.5621080604573786</v>
      </c>
      <c r="N37" s="67">
        <f t="shared" ref="N37:N40" si="29">C37/C$32</f>
        <v>0.55850866780771613</v>
      </c>
      <c r="O37" s="67">
        <f t="shared" ref="O37:O40" si="30">D37/D$32</f>
        <v>0.47363049463796375</v>
      </c>
      <c r="P37" s="67">
        <f t="shared" ref="P37:P40" si="31">E37/E$32</f>
        <v>0.48445256175367435</v>
      </c>
      <c r="Q37" s="67">
        <f t="shared" ref="Q37:Q40" si="32">F37/F$32</f>
        <v>0.5091467421816952</v>
      </c>
      <c r="R37" s="67">
        <f t="shared" ref="R37:R40" si="33">G37/G$32</f>
        <v>0.52280389587162013</v>
      </c>
      <c r="S37" s="68">
        <f>H37/H$32</f>
        <v>0.57965239233920862</v>
      </c>
    </row>
    <row r="38" spans="1:26" s="69" customFormat="1" x14ac:dyDescent="0.25">
      <c r="A38" s="173" t="s">
        <v>123</v>
      </c>
      <c r="B38" s="8">
        <v>30961367.02</v>
      </c>
      <c r="C38" s="8">
        <v>23154618.529999994</v>
      </c>
      <c r="D38" s="8">
        <v>38271305.11999999</v>
      </c>
      <c r="E38" s="8">
        <v>46502131.649999984</v>
      </c>
      <c r="F38" s="8">
        <v>37905250.480000019</v>
      </c>
      <c r="G38" s="8">
        <v>34424642.269999996</v>
      </c>
      <c r="H38" s="117">
        <v>26256942.330000006</v>
      </c>
      <c r="I38" s="102" t="str">
        <f t="shared" si="28"/>
        <v>▼</v>
      </c>
      <c r="J38" s="6">
        <f t="shared" ref="J38:J41" si="34">H38-G38</f>
        <v>-8167699.9399999902</v>
      </c>
      <c r="K38" s="154">
        <f t="shared" ref="K38:K41" si="35">H38/G38-1</f>
        <v>-0.23726317548745846</v>
      </c>
      <c r="M38" s="70">
        <f t="shared" ref="M38:M40" si="36">B38/B$32</f>
        <v>0.16839891825587602</v>
      </c>
      <c r="N38" s="70">
        <f t="shared" si="29"/>
        <v>0.12782263016839829</v>
      </c>
      <c r="O38" s="70">
        <f t="shared" si="30"/>
        <v>0.14456313840433144</v>
      </c>
      <c r="P38" s="70">
        <f t="shared" si="31"/>
        <v>0.1769480408125236</v>
      </c>
      <c r="Q38" s="70">
        <f t="shared" si="32"/>
        <v>0.17693646713823782</v>
      </c>
      <c r="R38" s="70">
        <f t="shared" si="33"/>
        <v>0.15256861791147358</v>
      </c>
      <c r="S38" s="71">
        <f t="shared" ref="S38:S40" si="37">H38/H$32</f>
        <v>0.13504138092611195</v>
      </c>
    </row>
    <row r="39" spans="1:26" s="76" customFormat="1" ht="30" x14ac:dyDescent="0.25">
      <c r="A39" s="174" t="s">
        <v>125</v>
      </c>
      <c r="B39" s="175">
        <v>5607112.0099999998</v>
      </c>
      <c r="C39" s="175">
        <v>5512011.29</v>
      </c>
      <c r="D39" s="175">
        <v>5831907.4100000001</v>
      </c>
      <c r="E39" s="175">
        <v>9489499.3099999987</v>
      </c>
      <c r="F39" s="175">
        <v>6351216.3600000003</v>
      </c>
      <c r="G39" s="175">
        <v>6549172.9899999993</v>
      </c>
      <c r="H39" s="176">
        <v>6011589.6799999988</v>
      </c>
      <c r="I39" s="111" t="str">
        <f t="shared" si="28"/>
        <v>▼</v>
      </c>
      <c r="J39" s="177">
        <f t="shared" si="34"/>
        <v>-537583.31000000052</v>
      </c>
      <c r="K39" s="52">
        <f t="shared" si="35"/>
        <v>-8.2084151818991868E-2</v>
      </c>
      <c r="M39" s="77">
        <f t="shared" si="36"/>
        <v>3.0497090015876523E-2</v>
      </c>
      <c r="N39" s="77">
        <f t="shared" si="29"/>
        <v>3.0428477139144046E-2</v>
      </c>
      <c r="O39" s="77">
        <f t="shared" si="30"/>
        <v>2.2029006730488954E-2</v>
      </c>
      <c r="P39" s="77">
        <f t="shared" si="31"/>
        <v>3.6109061060565273E-2</v>
      </c>
      <c r="Q39" s="77">
        <f t="shared" si="32"/>
        <v>2.9646599627719383E-2</v>
      </c>
      <c r="R39" s="77">
        <f t="shared" si="33"/>
        <v>2.9025668987654903E-2</v>
      </c>
      <c r="S39" s="78">
        <f t="shared" si="37"/>
        <v>3.091804680626585E-2</v>
      </c>
    </row>
    <row r="40" spans="1:26" s="69" customFormat="1" ht="15.75" thickBot="1" x14ac:dyDescent="0.3">
      <c r="A40" s="173" t="s">
        <v>124</v>
      </c>
      <c r="B40" s="8">
        <v>43941141.789999999</v>
      </c>
      <c r="C40" s="8">
        <v>51307967.540000007</v>
      </c>
      <c r="D40" s="8">
        <v>95246611.829999998</v>
      </c>
      <c r="E40" s="8">
        <v>79494779.260000005</v>
      </c>
      <c r="F40" s="8">
        <v>60899445.830000013</v>
      </c>
      <c r="G40" s="8">
        <v>66697771.480000004</v>
      </c>
      <c r="H40" s="176">
        <v>49462288.699999996</v>
      </c>
      <c r="I40" s="102" t="str">
        <f t="shared" si="28"/>
        <v>▼</v>
      </c>
      <c r="J40" s="6">
        <f t="shared" si="34"/>
        <v>-17235482.780000009</v>
      </c>
      <c r="K40" s="154">
        <f t="shared" si="35"/>
        <v>-0.2584116739967578</v>
      </c>
      <c r="M40" s="70">
        <f t="shared" si="36"/>
        <v>0.23899593127086893</v>
      </c>
      <c r="N40" s="70">
        <f t="shared" si="29"/>
        <v>0.28324022488474165</v>
      </c>
      <c r="O40" s="70">
        <f t="shared" si="30"/>
        <v>0.35977736022721574</v>
      </c>
      <c r="P40" s="70">
        <f t="shared" si="31"/>
        <v>0.3024903363732368</v>
      </c>
      <c r="Q40" s="70">
        <f t="shared" si="32"/>
        <v>0.28427019105234752</v>
      </c>
      <c r="R40" s="70">
        <f t="shared" si="33"/>
        <v>0.29560181722925138</v>
      </c>
      <c r="S40" s="71">
        <f t="shared" si="37"/>
        <v>0.25438817992841367</v>
      </c>
    </row>
    <row r="41" spans="1:26" s="66" customFormat="1" ht="15.75" thickBot="1" x14ac:dyDescent="0.3">
      <c r="A41" s="163"/>
      <c r="B41" s="178">
        <f t="shared" ref="B41:G41" si="38">SUM(B37:B40)</f>
        <v>183857279.72999999</v>
      </c>
      <c r="C41" s="113">
        <f t="shared" si="38"/>
        <v>181146472.25999999</v>
      </c>
      <c r="D41" s="113">
        <f t="shared" si="38"/>
        <v>264737647.11000001</v>
      </c>
      <c r="E41" s="113">
        <f t="shared" si="38"/>
        <v>262801054.12</v>
      </c>
      <c r="F41" s="113">
        <f t="shared" si="38"/>
        <v>214230854.12000009</v>
      </c>
      <c r="G41" s="113">
        <f t="shared" si="38"/>
        <v>225633834.41000003</v>
      </c>
      <c r="H41" s="179">
        <f t="shared" ref="H41" si="39">SUM(H37:H40)</f>
        <v>194436269.46000001</v>
      </c>
      <c r="I41" s="164" t="str">
        <f t="shared" si="28"/>
        <v>▼</v>
      </c>
      <c r="J41" s="165">
        <f t="shared" si="34"/>
        <v>-31197564.950000018</v>
      </c>
      <c r="K41" s="166">
        <f t="shared" si="35"/>
        <v>-0.13826634215376943</v>
      </c>
      <c r="M41" s="73">
        <f>SUM(M37:M40)</f>
        <v>1</v>
      </c>
      <c r="N41" s="73">
        <f t="shared" ref="N41:S41" si="40">SUM(N37:N40)</f>
        <v>1.0000000000000002</v>
      </c>
      <c r="O41" s="73">
        <f t="shared" si="40"/>
        <v>0.99999999999999989</v>
      </c>
      <c r="P41" s="73">
        <f t="shared" si="40"/>
        <v>1</v>
      </c>
      <c r="Q41" s="73">
        <f t="shared" si="40"/>
        <v>1</v>
      </c>
      <c r="R41" s="73">
        <f t="shared" si="40"/>
        <v>1</v>
      </c>
      <c r="S41" s="75">
        <f t="shared" si="40"/>
        <v>1</v>
      </c>
    </row>
    <row r="42" spans="1:26" s="66" customFormat="1" x14ac:dyDescent="0.25">
      <c r="A42" s="180"/>
      <c r="B42" s="181">
        <f t="shared" ref="B42:G42" si="41">B41-B32</f>
        <v>0</v>
      </c>
      <c r="C42" s="181">
        <f t="shared" si="41"/>
        <v>0</v>
      </c>
      <c r="D42" s="181">
        <f t="shared" si="41"/>
        <v>0</v>
      </c>
      <c r="E42" s="181">
        <f t="shared" si="41"/>
        <v>0</v>
      </c>
      <c r="F42" s="181">
        <f t="shared" si="41"/>
        <v>0</v>
      </c>
      <c r="G42" s="181">
        <f t="shared" si="41"/>
        <v>0</v>
      </c>
      <c r="H42" s="181">
        <f t="shared" ref="H42" si="42">H41-H32</f>
        <v>0</v>
      </c>
      <c r="I42" s="182"/>
      <c r="J42" s="183"/>
      <c r="K42" s="184"/>
      <c r="R42" s="61"/>
    </row>
    <row r="43" spans="1:26" ht="18.75" customHeight="1" x14ac:dyDescent="0.25">
      <c r="A43" s="185" t="s">
        <v>159</v>
      </c>
      <c r="H43" s="186"/>
    </row>
    <row r="44" spans="1:26" ht="8.25" customHeight="1" x14ac:dyDescent="0.25"/>
    <row r="45" spans="1:26" s="63" customFormat="1" ht="18" customHeight="1" x14ac:dyDescent="0.25">
      <c r="A45" s="153" t="s">
        <v>0</v>
      </c>
      <c r="B45" s="106">
        <f t="shared" ref="B45:G45" si="43">B3</f>
        <v>2019</v>
      </c>
      <c r="C45" s="106">
        <f t="shared" si="43"/>
        <v>2020</v>
      </c>
      <c r="D45" s="106">
        <f t="shared" si="43"/>
        <v>2021</v>
      </c>
      <c r="E45" s="106">
        <f t="shared" si="43"/>
        <v>2022</v>
      </c>
      <c r="F45" s="106">
        <f t="shared" si="43"/>
        <v>2023</v>
      </c>
      <c r="G45" s="106">
        <f t="shared" si="43"/>
        <v>2024</v>
      </c>
      <c r="H45" s="106">
        <f t="shared" ref="H45" si="44">H3</f>
        <v>2025</v>
      </c>
      <c r="I45" s="244" t="str">
        <f>CONCATENATE(H45," vs. ",G45)</f>
        <v>2025 vs. 2024</v>
      </c>
      <c r="J45" s="244"/>
      <c r="K45" s="244"/>
      <c r="R45" s="64"/>
    </row>
    <row r="46" spans="1:26" x14ac:dyDescent="0.25">
      <c r="A46" s="187" t="s">
        <v>92</v>
      </c>
      <c r="B46" s="102">
        <v>1865024.04</v>
      </c>
      <c r="C46" s="102">
        <v>1705120</v>
      </c>
      <c r="D46" s="102">
        <v>2199955</v>
      </c>
      <c r="E46" s="102">
        <v>2247585</v>
      </c>
      <c r="F46" s="102">
        <v>2190008</v>
      </c>
      <c r="G46" s="102">
        <v>2155377</v>
      </c>
      <c r="H46" s="115">
        <v>2024451</v>
      </c>
      <c r="I46" s="102" t="str">
        <f t="shared" ref="I46:I48" si="45">IF(H46+G46&gt;0,IF(H46&gt;G46,"▲",IF(H46=G46,"▬","▼")),IF(H46&gt;G46,"▼",IF(H46=G46,"▬","▲")))</f>
        <v>▼</v>
      </c>
      <c r="J46" s="188">
        <f t="shared" ref="J46:J48" si="46">H46-G46</f>
        <v>-130926</v>
      </c>
      <c r="K46" s="154">
        <f t="shared" ref="K46:K48" si="47">H46/G46-1</f>
        <v>-6.0743897703278815E-2</v>
      </c>
    </row>
    <row r="47" spans="1:26" ht="15.75" thickBot="1" x14ac:dyDescent="0.3">
      <c r="A47" s="187" t="s">
        <v>161</v>
      </c>
      <c r="B47" s="102">
        <v>2275212.77</v>
      </c>
      <c r="C47" s="102">
        <v>2262430.7799999998</v>
      </c>
      <c r="D47" s="102">
        <v>2259451</v>
      </c>
      <c r="E47" s="102">
        <v>2206664</v>
      </c>
      <c r="F47" s="102">
        <v>2113978</v>
      </c>
      <c r="G47" s="102">
        <v>1839055</v>
      </c>
      <c r="H47" s="115">
        <v>1517554</v>
      </c>
      <c r="I47" s="102" t="str">
        <f t="shared" si="45"/>
        <v>▼</v>
      </c>
      <c r="J47" s="188">
        <f t="shared" si="46"/>
        <v>-321501</v>
      </c>
      <c r="K47" s="154">
        <f t="shared" si="47"/>
        <v>-0.17481858889484003</v>
      </c>
    </row>
    <row r="48" spans="1:26" ht="15.75" thickBot="1" x14ac:dyDescent="0.3">
      <c r="A48" s="189"/>
      <c r="B48" s="190">
        <f t="shared" ref="B48:G48" si="48">SUM(B46:B47)</f>
        <v>4140236.81</v>
      </c>
      <c r="C48" s="191">
        <f t="shared" si="48"/>
        <v>3967550.78</v>
      </c>
      <c r="D48" s="191">
        <f t="shared" si="48"/>
        <v>4459406</v>
      </c>
      <c r="E48" s="191">
        <f t="shared" si="48"/>
        <v>4454249</v>
      </c>
      <c r="F48" s="191">
        <f t="shared" si="48"/>
        <v>4303986</v>
      </c>
      <c r="G48" s="191">
        <f t="shared" si="48"/>
        <v>3994432</v>
      </c>
      <c r="H48" s="179">
        <f t="shared" ref="H48" si="49">SUM(H46:H47)</f>
        <v>3542005</v>
      </c>
      <c r="I48" s="164" t="str">
        <f t="shared" si="45"/>
        <v>▼</v>
      </c>
      <c r="J48" s="192">
        <f t="shared" si="46"/>
        <v>-452427</v>
      </c>
      <c r="K48" s="166">
        <f t="shared" si="47"/>
        <v>-0.11326441406437759</v>
      </c>
    </row>
    <row r="49" spans="1:18" ht="4.7" customHeight="1" x14ac:dyDescent="0.25"/>
    <row r="50" spans="1:18" x14ac:dyDescent="0.25">
      <c r="A50" s="193"/>
      <c r="B50" s="55">
        <f t="shared" ref="B50:G50" si="50">B48-B5</f>
        <v>0</v>
      </c>
      <c r="C50" s="55">
        <f t="shared" si="50"/>
        <v>0.5</v>
      </c>
      <c r="D50" s="55">
        <f t="shared" si="50"/>
        <v>0</v>
      </c>
      <c r="E50" s="55">
        <f t="shared" si="50"/>
        <v>0</v>
      </c>
      <c r="F50" s="55">
        <f t="shared" si="50"/>
        <v>0</v>
      </c>
      <c r="G50" s="55">
        <f t="shared" si="50"/>
        <v>0</v>
      </c>
      <c r="H50" s="55">
        <f t="shared" ref="H50" si="51">H48-H5</f>
        <v>0</v>
      </c>
    </row>
    <row r="51" spans="1:18" ht="18.75" customHeight="1" x14ac:dyDescent="0.25">
      <c r="A51" s="185" t="s">
        <v>160</v>
      </c>
      <c r="H51" s="186"/>
    </row>
    <row r="52" spans="1:18" ht="8.25" customHeight="1" x14ac:dyDescent="0.25"/>
    <row r="53" spans="1:18" s="63" customFormat="1" ht="18" customHeight="1" x14ac:dyDescent="0.25">
      <c r="A53" s="153" t="s">
        <v>0</v>
      </c>
      <c r="B53" s="106">
        <f t="shared" ref="B53:G53" si="52">B3</f>
        <v>2019</v>
      </c>
      <c r="C53" s="106">
        <f t="shared" si="52"/>
        <v>2020</v>
      </c>
      <c r="D53" s="106">
        <f t="shared" si="52"/>
        <v>2021</v>
      </c>
      <c r="E53" s="106">
        <f t="shared" si="52"/>
        <v>2022</v>
      </c>
      <c r="F53" s="106">
        <f t="shared" si="52"/>
        <v>2023</v>
      </c>
      <c r="G53" s="106">
        <f t="shared" si="52"/>
        <v>2024</v>
      </c>
      <c r="H53" s="106">
        <f t="shared" ref="H53" si="53">H3</f>
        <v>2025</v>
      </c>
      <c r="I53" s="244" t="str">
        <f>CONCATENATE(H53," vs. ",G53)</f>
        <v>2025 vs. 2024</v>
      </c>
      <c r="J53" s="244"/>
      <c r="K53" s="244"/>
      <c r="R53" s="64"/>
    </row>
    <row r="54" spans="1:18" x14ac:dyDescent="0.25">
      <c r="A54" s="187" t="s">
        <v>20</v>
      </c>
      <c r="B54" s="102">
        <v>86398.37</v>
      </c>
      <c r="C54" s="102">
        <v>105139</v>
      </c>
      <c r="D54" s="102">
        <v>128719</v>
      </c>
      <c r="E54" s="102">
        <v>316730</v>
      </c>
      <c r="F54" s="102">
        <v>983890</v>
      </c>
      <c r="G54" s="102">
        <v>1013506</v>
      </c>
      <c r="H54" s="102">
        <v>787321</v>
      </c>
      <c r="I54" s="102" t="str">
        <f t="shared" ref="I54:I62" si="54">IF(H54+G54&gt;0,IF(H54&gt;G54,"▲",IF(H54=G54,"▬","▼")),IF(H54&gt;G54,"▼",IF(H54=G54,"▬","▲")))</f>
        <v>▼</v>
      </c>
      <c r="J54" s="188">
        <f t="shared" ref="J54:J62" si="55">H54-G54</f>
        <v>-226185</v>
      </c>
      <c r="K54" s="154">
        <f t="shared" ref="K54" si="56">H54/G54-1</f>
        <v>-0.22317085443993423</v>
      </c>
    </row>
    <row r="55" spans="1:18" x14ac:dyDescent="0.25">
      <c r="A55" s="187" t="s">
        <v>165</v>
      </c>
      <c r="B55" s="102">
        <v>0</v>
      </c>
      <c r="C55" s="102">
        <v>0</v>
      </c>
      <c r="D55" s="102">
        <v>0</v>
      </c>
      <c r="E55" s="102">
        <v>274153</v>
      </c>
      <c r="F55" s="102">
        <v>2402662</v>
      </c>
      <c r="G55" s="102">
        <v>243138</v>
      </c>
      <c r="H55" s="102">
        <v>0</v>
      </c>
      <c r="I55" s="102" t="str">
        <f t="shared" si="54"/>
        <v>▼</v>
      </c>
      <c r="J55" s="188">
        <f t="shared" ref="J55" si="57">H55-G55</f>
        <v>-243138</v>
      </c>
      <c r="K55" s="154">
        <f t="shared" ref="K55" si="58">H55/G55-1</f>
        <v>-1</v>
      </c>
    </row>
    <row r="56" spans="1:18" x14ac:dyDescent="0.25">
      <c r="A56" s="194" t="s">
        <v>93</v>
      </c>
      <c r="B56" s="117">
        <v>0</v>
      </c>
      <c r="C56" s="117">
        <v>0</v>
      </c>
      <c r="D56" s="117">
        <v>0</v>
      </c>
      <c r="E56" s="117">
        <v>0</v>
      </c>
      <c r="F56" s="117">
        <v>0</v>
      </c>
      <c r="G56" s="117"/>
      <c r="H56" s="117"/>
      <c r="I56" s="117" t="str">
        <f t="shared" si="54"/>
        <v>▬</v>
      </c>
      <c r="J56" s="195">
        <f t="shared" si="55"/>
        <v>0</v>
      </c>
      <c r="K56" s="196"/>
    </row>
    <row r="57" spans="1:18" x14ac:dyDescent="0.25">
      <c r="A57" s="194" t="s">
        <v>94</v>
      </c>
      <c r="B57" s="117">
        <v>0</v>
      </c>
      <c r="C57" s="117">
        <v>0</v>
      </c>
      <c r="D57" s="117">
        <v>0</v>
      </c>
      <c r="E57" s="117">
        <v>46745700</v>
      </c>
      <c r="F57" s="117">
        <v>0</v>
      </c>
      <c r="G57" s="117"/>
      <c r="H57" s="117"/>
      <c r="I57" s="117" t="str">
        <f t="shared" si="54"/>
        <v>▬</v>
      </c>
      <c r="J57" s="195">
        <f t="shared" si="55"/>
        <v>0</v>
      </c>
      <c r="K57" s="196"/>
    </row>
    <row r="58" spans="1:18" x14ac:dyDescent="0.25">
      <c r="A58" s="194" t="s">
        <v>95</v>
      </c>
      <c r="B58" s="117">
        <v>0</v>
      </c>
      <c r="C58" s="117">
        <v>0</v>
      </c>
      <c r="D58" s="117">
        <v>0</v>
      </c>
      <c r="E58" s="117">
        <v>0</v>
      </c>
      <c r="F58" s="117">
        <v>0</v>
      </c>
      <c r="G58" s="117"/>
      <c r="H58" s="117"/>
      <c r="I58" s="117" t="str">
        <f t="shared" si="54"/>
        <v>▬</v>
      </c>
      <c r="J58" s="195">
        <f t="shared" si="55"/>
        <v>0</v>
      </c>
      <c r="K58" s="196"/>
    </row>
    <row r="59" spans="1:18" x14ac:dyDescent="0.25">
      <c r="A59" s="194" t="s">
        <v>96</v>
      </c>
      <c r="B59" s="117">
        <v>0</v>
      </c>
      <c r="C59" s="117">
        <v>0</v>
      </c>
      <c r="D59" s="117">
        <v>0</v>
      </c>
      <c r="E59" s="117">
        <v>0</v>
      </c>
      <c r="F59" s="117">
        <v>0</v>
      </c>
      <c r="G59" s="117"/>
      <c r="H59" s="117"/>
      <c r="I59" s="117" t="str">
        <f t="shared" si="54"/>
        <v>▬</v>
      </c>
      <c r="J59" s="195">
        <f t="shared" si="55"/>
        <v>0</v>
      </c>
      <c r="K59" s="196"/>
    </row>
    <row r="60" spans="1:18" x14ac:dyDescent="0.25">
      <c r="A60" s="194" t="s">
        <v>97</v>
      </c>
      <c r="B60" s="117">
        <v>0</v>
      </c>
      <c r="C60" s="117">
        <v>0</v>
      </c>
      <c r="D60" s="117">
        <v>0</v>
      </c>
      <c r="E60" s="117">
        <v>0</v>
      </c>
      <c r="F60" s="117">
        <v>0</v>
      </c>
      <c r="G60" s="117"/>
      <c r="H60" s="117">
        <v>1500000</v>
      </c>
      <c r="I60" s="117" t="str">
        <f t="shared" si="54"/>
        <v>▲</v>
      </c>
      <c r="J60" s="195">
        <f t="shared" si="55"/>
        <v>1500000</v>
      </c>
      <c r="K60" s="196"/>
    </row>
    <row r="61" spans="1:18" ht="15.75" thickBot="1" x14ac:dyDescent="0.3">
      <c r="A61" s="194" t="s">
        <v>98</v>
      </c>
      <c r="B61" s="117">
        <v>0</v>
      </c>
      <c r="C61" s="117">
        <v>0</v>
      </c>
      <c r="D61" s="117">
        <v>0</v>
      </c>
      <c r="E61" s="117">
        <v>0</v>
      </c>
      <c r="F61" s="117">
        <v>0</v>
      </c>
      <c r="G61" s="117"/>
      <c r="H61" s="117"/>
      <c r="I61" s="117" t="str">
        <f t="shared" si="54"/>
        <v>▬</v>
      </c>
      <c r="J61" s="195">
        <f t="shared" si="55"/>
        <v>0</v>
      </c>
      <c r="K61" s="196"/>
    </row>
    <row r="62" spans="1:18" ht="15.75" thickBot="1" x14ac:dyDescent="0.3">
      <c r="A62" s="189"/>
      <c r="B62" s="190">
        <f t="shared" ref="B62:H62" si="59">SUM(B54:B61)</f>
        <v>86398.37</v>
      </c>
      <c r="C62" s="191">
        <f t="shared" si="59"/>
        <v>105139</v>
      </c>
      <c r="D62" s="191">
        <f t="shared" si="59"/>
        <v>128719</v>
      </c>
      <c r="E62" s="191">
        <f t="shared" si="59"/>
        <v>47336583</v>
      </c>
      <c r="F62" s="191">
        <f t="shared" si="59"/>
        <v>3386552</v>
      </c>
      <c r="G62" s="191">
        <f t="shared" si="59"/>
        <v>1256644</v>
      </c>
      <c r="H62" s="179">
        <f t="shared" si="59"/>
        <v>2287321</v>
      </c>
      <c r="I62" s="164" t="str">
        <f t="shared" si="54"/>
        <v>▲</v>
      </c>
      <c r="J62" s="192">
        <f t="shared" si="55"/>
        <v>1030677</v>
      </c>
      <c r="K62" s="166">
        <f t="shared" ref="K62" si="60">H62/G62-1</f>
        <v>0.82018216774201758</v>
      </c>
    </row>
    <row r="63" spans="1:18" x14ac:dyDescent="0.25">
      <c r="B63" s="55">
        <f t="shared" ref="B63:H63" si="61">B62-B13</f>
        <v>0</v>
      </c>
      <c r="C63" s="55">
        <f t="shared" si="61"/>
        <v>-8.000000000174623E-2</v>
      </c>
      <c r="D63" s="55">
        <f t="shared" si="61"/>
        <v>0</v>
      </c>
      <c r="E63" s="55">
        <f t="shared" si="61"/>
        <v>0</v>
      </c>
      <c r="F63" s="55">
        <f t="shared" si="61"/>
        <v>0</v>
      </c>
      <c r="G63" s="55">
        <f t="shared" si="61"/>
        <v>0</v>
      </c>
      <c r="H63" s="55">
        <f t="shared" si="61"/>
        <v>0</v>
      </c>
    </row>
    <row r="64" spans="1:18" x14ac:dyDescent="0.25">
      <c r="A64" s="245" t="s">
        <v>162</v>
      </c>
      <c r="B64" s="245"/>
      <c r="C64" s="245"/>
      <c r="D64" s="245"/>
      <c r="E64" s="245"/>
      <c r="F64" s="245"/>
      <c r="G64" s="245"/>
      <c r="H64" s="245"/>
      <c r="I64" s="245"/>
      <c r="J64" s="245"/>
      <c r="K64" s="245"/>
    </row>
    <row r="66" spans="1:7" x14ac:dyDescent="0.25">
      <c r="A66" s="10" t="s">
        <v>23</v>
      </c>
    </row>
    <row r="68" spans="1:7" x14ac:dyDescent="0.25">
      <c r="B68" s="55"/>
      <c r="C68" s="55"/>
      <c r="D68" s="55"/>
      <c r="E68" s="55"/>
      <c r="F68" s="55"/>
      <c r="G68" s="55"/>
    </row>
  </sheetData>
  <mergeCells count="8">
    <mergeCell ref="I53:K53"/>
    <mergeCell ref="A64:K64"/>
    <mergeCell ref="U34:V34"/>
    <mergeCell ref="W34:Z34"/>
    <mergeCell ref="I3:K3"/>
    <mergeCell ref="I45:K45"/>
    <mergeCell ref="I26:K26"/>
    <mergeCell ref="I36:K36"/>
  </mergeCells>
  <conditionalFormatting sqref="A12">
    <cfRule type="duplicateValues" dxfId="18" priority="19"/>
  </conditionalFormatting>
  <conditionalFormatting sqref="A13 A4:A11">
    <cfRule type="duplicateValues" dxfId="17" priority="31"/>
  </conditionalFormatting>
  <conditionalFormatting sqref="A14:A15">
    <cfRule type="duplicateValues" dxfId="16" priority="5"/>
  </conditionalFormatting>
  <conditionalFormatting sqref="A16">
    <cfRule type="duplicateValues" dxfId="15" priority="1"/>
  </conditionalFormatting>
  <conditionalFormatting sqref="A17">
    <cfRule type="duplicateValues" dxfId="14" priority="23"/>
  </conditionalFormatting>
  <conditionalFormatting sqref="A19">
    <cfRule type="duplicateValues" dxfId="13" priority="27"/>
  </conditionalFormatting>
  <conditionalFormatting sqref="A22">
    <cfRule type="duplicateValues" dxfId="12" priority="15"/>
  </conditionalFormatting>
  <conditionalFormatting sqref="I4:I22 I54:I62">
    <cfRule type="expression" dxfId="11" priority="2">
      <formula>H4=G4</formula>
    </cfRule>
    <cfRule type="expression" dxfId="10" priority="3">
      <formula>H4&lt;G4</formula>
    </cfRule>
    <cfRule type="expression" dxfId="9" priority="4">
      <formula>H4&gt;G4</formula>
    </cfRule>
  </conditionalFormatting>
  <conditionalFormatting sqref="I27:I32">
    <cfRule type="expression" dxfId="8" priority="47">
      <formula>H27=G27</formula>
    </cfRule>
    <cfRule type="expression" dxfId="7" priority="48">
      <formula>H27&lt;G27</formula>
    </cfRule>
    <cfRule type="expression" dxfId="6" priority="49">
      <formula>H27&gt;G27</formula>
    </cfRule>
  </conditionalFormatting>
  <conditionalFormatting sqref="I37:I41">
    <cfRule type="expression" dxfId="5" priority="35">
      <formula>H37=G37</formula>
    </cfRule>
    <cfRule type="expression" dxfId="4" priority="36">
      <formula>H37&lt;G37</formula>
    </cfRule>
    <cfRule type="expression" dxfId="3" priority="37">
      <formula>H37&gt;G37</formula>
    </cfRule>
  </conditionalFormatting>
  <conditionalFormatting sqref="I46:I48">
    <cfRule type="expression" dxfId="2" priority="41">
      <formula>H46=G46</formula>
    </cfRule>
    <cfRule type="expression" dxfId="1" priority="42">
      <formula>H46&lt;G46</formula>
    </cfRule>
    <cfRule type="expression" dxfId="0" priority="43">
      <formula>H46&gt;G46</formula>
    </cfRule>
  </conditionalFormatting>
  <dataValidations count="1">
    <dataValidation type="list" allowBlank="1" showInputMessage="1" showErrorMessage="1" sqref="W34" xr:uid="{70854E5F-4F70-4497-8F6B-A63507EF0992}">
      <formula1>"Mase plastice,Polimeri reciclati si compounduri,Alte sectoare productive,Alte activitati"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2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20" sqref="K20"/>
    </sheetView>
  </sheetViews>
  <sheetFormatPr defaultRowHeight="15" x14ac:dyDescent="0.25"/>
  <cols>
    <col min="1" max="1" width="62" style="203" customWidth="1"/>
    <col min="2" max="2" width="64" style="203" hidden="1" customWidth="1"/>
    <col min="3" max="8" width="12.85546875" style="199" bestFit="1" customWidth="1"/>
    <col min="9" max="9" width="13.140625" style="199" bestFit="1" customWidth="1"/>
    <col min="10" max="10" width="9.140625" style="201"/>
    <col min="11" max="11" width="9.5703125" style="201" customWidth="1"/>
    <col min="12" max="12" width="9.140625" style="201" customWidth="1"/>
    <col min="13" max="13" width="9.140625" style="201"/>
    <col min="14" max="14" width="1.5703125" style="201" customWidth="1"/>
    <col min="15" max="16384" width="9.140625" style="201"/>
  </cols>
  <sheetData>
    <row r="1" spans="1:9" ht="15.75" thickBot="1" x14ac:dyDescent="0.3">
      <c r="A1" s="198"/>
      <c r="B1" s="198"/>
      <c r="I1" s="200"/>
    </row>
    <row r="2" spans="1:9" ht="15.75" thickBot="1" x14ac:dyDescent="0.3">
      <c r="A2" s="202" t="s">
        <v>176</v>
      </c>
      <c r="B2" s="202"/>
      <c r="C2" s="146">
        <v>2019</v>
      </c>
      <c r="D2" s="146">
        <f t="shared" ref="D2:I2" si="0">C2+1</f>
        <v>2020</v>
      </c>
      <c r="E2" s="146">
        <f t="shared" si="0"/>
        <v>2021</v>
      </c>
      <c r="F2" s="146">
        <f t="shared" si="0"/>
        <v>2022</v>
      </c>
      <c r="G2" s="146">
        <f t="shared" si="0"/>
        <v>2023</v>
      </c>
      <c r="H2" s="146">
        <f t="shared" si="0"/>
        <v>2024</v>
      </c>
      <c r="I2" s="146">
        <f t="shared" si="0"/>
        <v>2025</v>
      </c>
    </row>
    <row r="3" spans="1:9" ht="15.75" thickBot="1" x14ac:dyDescent="0.3"/>
    <row r="4" spans="1:9" ht="15.75" thickBot="1" x14ac:dyDescent="0.3">
      <c r="A4" s="204" t="s">
        <v>177</v>
      </c>
      <c r="B4" s="204" t="s">
        <v>178</v>
      </c>
      <c r="C4" s="205">
        <v>370097.95999998227</v>
      </c>
      <c r="D4" s="205">
        <v>869104.43999996176</v>
      </c>
      <c r="E4" s="205">
        <v>-1447458</v>
      </c>
      <c r="F4" s="205">
        <v>51471690</v>
      </c>
      <c r="G4" s="205">
        <v>3313809</v>
      </c>
      <c r="H4" s="205">
        <v>-5992980</v>
      </c>
      <c r="I4" s="206">
        <v>1903619</v>
      </c>
    </row>
    <row r="5" spans="1:9" x14ac:dyDescent="0.25">
      <c r="A5" s="198" t="s">
        <v>179</v>
      </c>
      <c r="B5" s="198" t="s">
        <v>180</v>
      </c>
      <c r="C5" s="207">
        <v>217442</v>
      </c>
      <c r="D5" s="207">
        <v>238297</v>
      </c>
      <c r="E5" s="207">
        <v>889087</v>
      </c>
      <c r="F5" s="207">
        <v>912071</v>
      </c>
      <c r="G5" s="207">
        <v>182523</v>
      </c>
      <c r="H5" s="207">
        <v>-1653756</v>
      </c>
      <c r="I5" s="208">
        <v>-126811</v>
      </c>
    </row>
    <row r="6" spans="1:9" x14ac:dyDescent="0.25">
      <c r="A6" s="198" t="s">
        <v>181</v>
      </c>
      <c r="B6" s="198" t="s">
        <v>182</v>
      </c>
      <c r="C6" s="207">
        <v>10634489</v>
      </c>
      <c r="D6" s="207">
        <v>10202832.52</v>
      </c>
      <c r="E6" s="207">
        <v>9977583</v>
      </c>
      <c r="F6" s="207">
        <v>9609158</v>
      </c>
      <c r="G6" s="207">
        <v>9392805</v>
      </c>
      <c r="H6" s="207">
        <v>9829769</v>
      </c>
      <c r="I6" s="208">
        <v>9083643</v>
      </c>
    </row>
    <row r="7" spans="1:9" x14ac:dyDescent="0.25">
      <c r="A7" s="198" t="s">
        <v>183</v>
      </c>
      <c r="B7" s="198" t="s">
        <v>184</v>
      </c>
      <c r="C7" s="207">
        <v>330904</v>
      </c>
      <c r="D7" s="207">
        <v>72556.229999999981</v>
      </c>
      <c r="E7" s="207">
        <v>-21280</v>
      </c>
      <c r="F7" s="207">
        <v>-915621</v>
      </c>
      <c r="G7" s="207">
        <v>0</v>
      </c>
      <c r="H7" s="207">
        <v>-6826</v>
      </c>
      <c r="I7" s="208">
        <v>-453464</v>
      </c>
    </row>
    <row r="8" spans="1:9" ht="30" x14ac:dyDescent="0.25">
      <c r="A8" s="198" t="s">
        <v>185</v>
      </c>
      <c r="B8" s="198" t="s">
        <v>186</v>
      </c>
      <c r="C8" s="207">
        <v>429524</v>
      </c>
      <c r="D8" s="207">
        <v>278663.31000000006</v>
      </c>
      <c r="E8" s="207">
        <v>-1377918</v>
      </c>
      <c r="F8" s="207">
        <v>-170996</v>
      </c>
      <c r="G8" s="207">
        <v>-974174</v>
      </c>
      <c r="H8" s="207">
        <v>-435954</v>
      </c>
      <c r="I8" s="208">
        <v>-827928</v>
      </c>
    </row>
    <row r="9" spans="1:9" ht="30" x14ac:dyDescent="0.25">
      <c r="A9" s="198" t="s">
        <v>187</v>
      </c>
      <c r="B9" s="198" t="s">
        <v>188</v>
      </c>
      <c r="C9" s="207">
        <v>795624.2300000001</v>
      </c>
      <c r="D9" s="207">
        <v>0</v>
      </c>
      <c r="E9" s="207">
        <v>0</v>
      </c>
      <c r="F9" s="207">
        <v>0</v>
      </c>
      <c r="G9" s="207">
        <v>-3992451</v>
      </c>
      <c r="H9" s="207">
        <v>0</v>
      </c>
      <c r="I9" s="208">
        <v>0</v>
      </c>
    </row>
    <row r="10" spans="1:9" x14ac:dyDescent="0.25">
      <c r="A10" s="198" t="s">
        <v>189</v>
      </c>
      <c r="B10" s="198" t="s">
        <v>190</v>
      </c>
      <c r="C10" s="207">
        <v>0</v>
      </c>
      <c r="D10" s="207">
        <v>0</v>
      </c>
      <c r="E10" s="207">
        <v>0</v>
      </c>
      <c r="F10" s="207">
        <v>1370104.4400000002</v>
      </c>
      <c r="G10" s="207">
        <v>0</v>
      </c>
      <c r="H10" s="207">
        <v>0</v>
      </c>
      <c r="I10" s="208">
        <v>0</v>
      </c>
    </row>
    <row r="11" spans="1:9" x14ac:dyDescent="0.25">
      <c r="A11" s="198" t="s">
        <v>191</v>
      </c>
      <c r="B11" s="198" t="s">
        <v>192</v>
      </c>
      <c r="C11" s="207">
        <v>0</v>
      </c>
      <c r="D11" s="207">
        <v>69661.810000000056</v>
      </c>
      <c r="E11" s="207">
        <v>-411233</v>
      </c>
      <c r="F11" s="207">
        <v>-1191307</v>
      </c>
      <c r="G11" s="207">
        <v>0</v>
      </c>
      <c r="H11" s="207">
        <v>0</v>
      </c>
      <c r="I11" s="208">
        <v>-3979858</v>
      </c>
    </row>
    <row r="12" spans="1:9" x14ac:dyDescent="0.25">
      <c r="A12" s="198" t="s">
        <v>193</v>
      </c>
      <c r="B12" s="198" t="s">
        <v>194</v>
      </c>
      <c r="C12" s="207">
        <v>-185760.11290000001</v>
      </c>
      <c r="D12" s="207">
        <v>234171.11000000034</v>
      </c>
      <c r="E12" s="207">
        <v>0</v>
      </c>
      <c r="F12" s="207">
        <v>0</v>
      </c>
      <c r="G12" s="207">
        <v>0</v>
      </c>
      <c r="H12" s="207">
        <v>0</v>
      </c>
      <c r="I12" s="208">
        <v>0</v>
      </c>
    </row>
    <row r="13" spans="1:9" ht="15.75" customHeight="1" x14ac:dyDescent="0.25">
      <c r="A13" s="198" t="s">
        <v>195</v>
      </c>
      <c r="B13" s="198" t="s">
        <v>196</v>
      </c>
      <c r="C13" s="207"/>
      <c r="D13" s="207"/>
      <c r="E13" s="207"/>
      <c r="F13" s="207"/>
      <c r="G13" s="207"/>
      <c r="H13" s="207">
        <v>-782307</v>
      </c>
      <c r="I13" s="208">
        <v>52347</v>
      </c>
    </row>
    <row r="14" spans="1:9" x14ac:dyDescent="0.25">
      <c r="A14" s="198" t="s">
        <v>197</v>
      </c>
      <c r="B14" s="198" t="s">
        <v>198</v>
      </c>
      <c r="C14" s="207">
        <v>4006</v>
      </c>
      <c r="D14" s="207">
        <v>22272.14</v>
      </c>
      <c r="E14" s="207">
        <v>45827</v>
      </c>
      <c r="F14" s="207">
        <v>54270</v>
      </c>
      <c r="G14" s="207">
        <v>54865</v>
      </c>
      <c r="H14" s="207">
        <v>61710</v>
      </c>
      <c r="I14" s="208">
        <v>20793</v>
      </c>
    </row>
    <row r="15" spans="1:9" x14ac:dyDescent="0.25">
      <c r="A15" s="198" t="s">
        <v>199</v>
      </c>
      <c r="B15" s="198" t="s">
        <v>200</v>
      </c>
      <c r="C15" s="207">
        <v>19414</v>
      </c>
      <c r="D15" s="207">
        <v>282705.19999999995</v>
      </c>
      <c r="E15" s="207">
        <v>13642</v>
      </c>
      <c r="F15" s="207">
        <v>-54640</v>
      </c>
      <c r="G15" s="207">
        <v>83148</v>
      </c>
      <c r="H15" s="207">
        <v>368573</v>
      </c>
      <c r="I15" s="208">
        <v>75394</v>
      </c>
    </row>
    <row r="16" spans="1:9" x14ac:dyDescent="0.25">
      <c r="A16" s="198" t="s">
        <v>201</v>
      </c>
      <c r="B16" s="198" t="s">
        <v>202</v>
      </c>
      <c r="C16" s="207">
        <v>0</v>
      </c>
      <c r="D16" s="207">
        <v>0</v>
      </c>
      <c r="E16" s="207">
        <v>-327189</v>
      </c>
      <c r="F16" s="207">
        <v>-9793</v>
      </c>
      <c r="G16" s="207">
        <v>-288092</v>
      </c>
      <c r="H16" s="207">
        <v>-839740</v>
      </c>
      <c r="I16" s="208">
        <v>-721205</v>
      </c>
    </row>
    <row r="17" spans="1:9" ht="30" x14ac:dyDescent="0.25">
      <c r="A17" s="198" t="s">
        <v>203</v>
      </c>
      <c r="B17" s="198" t="s">
        <v>204</v>
      </c>
      <c r="C17" s="207"/>
      <c r="D17" s="207"/>
      <c r="E17" s="207"/>
      <c r="F17" s="207"/>
      <c r="G17" s="207"/>
      <c r="H17" s="207">
        <v>97950</v>
      </c>
      <c r="I17" s="208">
        <v>8202</v>
      </c>
    </row>
    <row r="18" spans="1:9" x14ac:dyDescent="0.25">
      <c r="A18" s="198" t="s">
        <v>205</v>
      </c>
      <c r="B18" s="198" t="s">
        <v>206</v>
      </c>
      <c r="C18" s="207">
        <v>0</v>
      </c>
      <c r="D18" s="207">
        <v>110537.5</v>
      </c>
      <c r="E18" s="207">
        <v>0</v>
      </c>
      <c r="F18" s="207">
        <v>0</v>
      </c>
      <c r="G18" s="207">
        <v>0</v>
      </c>
      <c r="H18" s="207">
        <v>0</v>
      </c>
      <c r="I18" s="208">
        <v>0</v>
      </c>
    </row>
    <row r="19" spans="1:9" x14ac:dyDescent="0.25">
      <c r="A19" s="198" t="s">
        <v>207</v>
      </c>
      <c r="B19" s="198" t="s">
        <v>208</v>
      </c>
      <c r="C19" s="207">
        <v>0</v>
      </c>
      <c r="D19" s="207">
        <v>-110138</v>
      </c>
      <c r="E19" s="207">
        <v>6477632</v>
      </c>
      <c r="F19" s="207">
        <v>0</v>
      </c>
      <c r="G19" s="207">
        <v>0</v>
      </c>
      <c r="H19" s="207">
        <v>0</v>
      </c>
      <c r="I19" s="208">
        <v>0</v>
      </c>
    </row>
    <row r="20" spans="1:9" x14ac:dyDescent="0.25">
      <c r="A20" s="198" t="s">
        <v>209</v>
      </c>
      <c r="B20" s="198" t="s">
        <v>210</v>
      </c>
      <c r="C20" s="207"/>
      <c r="D20" s="207">
        <v>200000</v>
      </c>
      <c r="E20" s="207">
        <v>200000</v>
      </c>
      <c r="F20" s="207">
        <v>600000</v>
      </c>
      <c r="G20" s="207">
        <v>117000</v>
      </c>
      <c r="H20" s="207">
        <v>0</v>
      </c>
      <c r="I20" s="208">
        <v>-132000</v>
      </c>
    </row>
    <row r="21" spans="1:9" x14ac:dyDescent="0.25">
      <c r="A21" s="198" t="s">
        <v>211</v>
      </c>
      <c r="B21" s="198" t="s">
        <v>212</v>
      </c>
      <c r="C21" s="207">
        <v>1472607</v>
      </c>
      <c r="D21" s="207">
        <v>1159857.74</v>
      </c>
      <c r="E21" s="207">
        <v>1149746</v>
      </c>
      <c r="F21" s="207">
        <v>1574050</v>
      </c>
      <c r="G21" s="207">
        <v>2081299</v>
      </c>
      <c r="H21" s="207">
        <v>2386479</v>
      </c>
      <c r="I21" s="208">
        <v>2535385</v>
      </c>
    </row>
    <row r="22" spans="1:9" x14ac:dyDescent="0.25">
      <c r="A22" s="198" t="s">
        <v>20</v>
      </c>
      <c r="B22" s="198" t="s">
        <v>213</v>
      </c>
      <c r="C22" s="207">
        <v>-86264</v>
      </c>
      <c r="D22" s="207">
        <v>-105139.08</v>
      </c>
      <c r="E22" s="207">
        <v>-128719</v>
      </c>
      <c r="F22" s="207">
        <v>-316730</v>
      </c>
      <c r="G22" s="207">
        <v>-983890</v>
      </c>
      <c r="H22" s="207">
        <v>-1013506</v>
      </c>
      <c r="I22" s="208">
        <v>-787321</v>
      </c>
    </row>
    <row r="23" spans="1:9" x14ac:dyDescent="0.25">
      <c r="A23" s="198" t="s">
        <v>166</v>
      </c>
      <c r="B23" s="198" t="s">
        <v>214</v>
      </c>
      <c r="C23" s="207">
        <v>0</v>
      </c>
      <c r="D23" s="207">
        <v>0</v>
      </c>
      <c r="E23" s="207">
        <v>0</v>
      </c>
      <c r="F23" s="207">
        <v>-46745700</v>
      </c>
      <c r="G23" s="207">
        <v>0</v>
      </c>
      <c r="H23" s="207">
        <v>0</v>
      </c>
      <c r="I23" s="208">
        <v>-1500000</v>
      </c>
    </row>
    <row r="24" spans="1:9" x14ac:dyDescent="0.25">
      <c r="A24" s="198" t="s">
        <v>215</v>
      </c>
      <c r="B24" s="198" t="s">
        <v>216</v>
      </c>
      <c r="C24" s="207">
        <v>-2275213</v>
      </c>
      <c r="D24" s="207">
        <v>-2262430.7799999998</v>
      </c>
      <c r="E24" s="207">
        <v>-2259451</v>
      </c>
      <c r="F24" s="207">
        <v>-2206664</v>
      </c>
      <c r="G24" s="207">
        <v>-2113978</v>
      </c>
      <c r="H24" s="207">
        <v>-1839055</v>
      </c>
      <c r="I24" s="208">
        <v>-1517554</v>
      </c>
    </row>
    <row r="25" spans="1:9" x14ac:dyDescent="0.25">
      <c r="A25" s="198" t="s">
        <v>217</v>
      </c>
      <c r="B25" s="198" t="s">
        <v>218</v>
      </c>
      <c r="C25" s="207">
        <v>600347</v>
      </c>
      <c r="D25" s="207">
        <v>445797.00147184799</v>
      </c>
      <c r="E25" s="207">
        <v>654632</v>
      </c>
      <c r="F25" s="207">
        <v>-274153</v>
      </c>
      <c r="G25" s="207">
        <v>-2402662</v>
      </c>
      <c r="H25" s="207">
        <v>-243138</v>
      </c>
      <c r="I25" s="208">
        <v>1188482</v>
      </c>
    </row>
    <row r="26" spans="1:9" x14ac:dyDescent="0.25">
      <c r="A26" s="198"/>
      <c r="B26" s="198"/>
      <c r="C26" s="207">
        <v>0</v>
      </c>
      <c r="D26" s="207">
        <v>0</v>
      </c>
      <c r="E26" s="207"/>
      <c r="F26" s="207"/>
      <c r="G26" s="207"/>
      <c r="H26" s="207">
        <v>0</v>
      </c>
      <c r="I26" s="208">
        <v>0</v>
      </c>
    </row>
    <row r="27" spans="1:9" x14ac:dyDescent="0.25">
      <c r="A27" s="209" t="s">
        <v>219</v>
      </c>
      <c r="B27" s="210" t="s">
        <v>220</v>
      </c>
      <c r="C27" s="207">
        <v>0</v>
      </c>
      <c r="D27" s="207">
        <v>0</v>
      </c>
      <c r="E27" s="207"/>
      <c r="F27" s="207"/>
      <c r="G27" s="207"/>
      <c r="H27" s="207">
        <v>0</v>
      </c>
      <c r="I27" s="208">
        <v>0</v>
      </c>
    </row>
    <row r="28" spans="1:9" x14ac:dyDescent="0.25">
      <c r="A28" s="198" t="s">
        <v>221</v>
      </c>
      <c r="B28" s="211" t="s">
        <v>222</v>
      </c>
      <c r="C28" s="207">
        <v>-10166817.600000001</v>
      </c>
      <c r="D28" s="207">
        <v>9486747.1792640295</v>
      </c>
      <c r="E28" s="207">
        <v>-20576749</v>
      </c>
      <c r="F28" s="207">
        <f>-6316831.19850392+2</f>
        <v>-6316829.1985039199</v>
      </c>
      <c r="G28" s="207">
        <f>8975358+2</f>
        <v>8975360</v>
      </c>
      <c r="H28" s="207">
        <v>-3886579.5</v>
      </c>
      <c r="I28" s="208">
        <v>66507.770000000019</v>
      </c>
    </row>
    <row r="29" spans="1:9" x14ac:dyDescent="0.25">
      <c r="A29" s="198" t="s">
        <v>223</v>
      </c>
      <c r="B29" s="211" t="s">
        <v>224</v>
      </c>
      <c r="C29" s="207">
        <v>-4650435.7799999937</v>
      </c>
      <c r="D29" s="207">
        <v>2774909</v>
      </c>
      <c r="E29" s="207">
        <v>-5375385</v>
      </c>
      <c r="F29" s="207">
        <v>-2261553</v>
      </c>
      <c r="G29" s="207">
        <v>-1119740</v>
      </c>
      <c r="H29" s="207">
        <v>-7747327</v>
      </c>
      <c r="I29" s="208">
        <v>5919130</v>
      </c>
    </row>
    <row r="30" spans="1:9" x14ac:dyDescent="0.25">
      <c r="A30" s="198" t="s">
        <v>225</v>
      </c>
      <c r="B30" s="211" t="s">
        <v>226</v>
      </c>
      <c r="C30" s="207">
        <v>-242057.24</v>
      </c>
      <c r="D30" s="207">
        <v>64467</v>
      </c>
      <c r="E30" s="207">
        <v>-1106915</v>
      </c>
      <c r="F30" s="207">
        <v>-3571403</v>
      </c>
      <c r="G30" s="207">
        <v>3078170</v>
      </c>
      <c r="H30" s="207">
        <v>2476404</v>
      </c>
      <c r="I30" s="208">
        <v>493169.34999999963</v>
      </c>
    </row>
    <row r="31" spans="1:9" x14ac:dyDescent="0.25">
      <c r="A31" s="198" t="s">
        <v>227</v>
      </c>
      <c r="B31" s="211" t="s">
        <v>228</v>
      </c>
      <c r="C31" s="207">
        <v>649976.62999999896</v>
      </c>
      <c r="D31" s="207">
        <v>1787617.96</v>
      </c>
      <c r="E31" s="207">
        <v>11032378</v>
      </c>
      <c r="F31" s="207">
        <v>-4846357.3100000005</v>
      </c>
      <c r="G31" s="207">
        <v>-7989155</v>
      </c>
      <c r="H31" s="207">
        <v>9503520</v>
      </c>
      <c r="I31" s="208">
        <v>-8681400.7100000009</v>
      </c>
    </row>
    <row r="32" spans="1:9" x14ac:dyDescent="0.25">
      <c r="A32" s="198" t="s">
        <v>229</v>
      </c>
      <c r="B32" s="211" t="s">
        <v>230</v>
      </c>
      <c r="C32" s="207">
        <v>-467</v>
      </c>
      <c r="D32" s="207">
        <v>0</v>
      </c>
      <c r="E32" s="207"/>
      <c r="F32" s="207">
        <v>0</v>
      </c>
      <c r="G32" s="207"/>
      <c r="H32" s="207">
        <v>0</v>
      </c>
      <c r="I32" s="208">
        <v>0</v>
      </c>
    </row>
    <row r="33" spans="1:10" x14ac:dyDescent="0.25">
      <c r="A33" s="198" t="s">
        <v>231</v>
      </c>
      <c r="B33" s="211" t="s">
        <v>232</v>
      </c>
      <c r="C33" s="207">
        <v>-3388503</v>
      </c>
      <c r="D33" s="207">
        <v>431251.74</v>
      </c>
      <c r="E33" s="207">
        <v>-129356</v>
      </c>
      <c r="F33" s="207">
        <v>1751137</v>
      </c>
      <c r="G33" s="207">
        <v>504351</v>
      </c>
      <c r="H33" s="207">
        <v>1636842.21</v>
      </c>
      <c r="I33" s="208">
        <v>2715303.0700000003</v>
      </c>
    </row>
    <row r="34" spans="1:10" ht="15.75" thickBot="1" x14ac:dyDescent="0.3">
      <c r="A34" s="198"/>
      <c r="B34" s="211"/>
      <c r="C34" s="207"/>
      <c r="D34" s="207"/>
      <c r="E34" s="207"/>
      <c r="F34" s="207"/>
      <c r="G34" s="207"/>
      <c r="H34" s="207"/>
      <c r="I34" s="208"/>
    </row>
    <row r="35" spans="1:10" ht="15.75" thickBot="1" x14ac:dyDescent="0.3">
      <c r="A35" s="212" t="s">
        <v>233</v>
      </c>
      <c r="B35" s="213" t="s">
        <v>234</v>
      </c>
      <c r="C35" s="214">
        <f>SUM(C4:C33)</f>
        <v>-5471085.9129000138</v>
      </c>
      <c r="D35" s="214">
        <f>SUM(D4:D33)</f>
        <v>26253741.020735841</v>
      </c>
      <c r="E35" s="214">
        <f>SUM(E4:E33)</f>
        <v>-2721126</v>
      </c>
      <c r="F35" s="214">
        <f>SUM(F4:F33)</f>
        <v>-1539266.0685039228</v>
      </c>
      <c r="G35" s="214">
        <f t="shared" ref="G35" si="1">SUM(G4:G33)</f>
        <v>7919188</v>
      </c>
      <c r="H35" s="214">
        <f>SUM(H4:H33)</f>
        <v>1920078.71</v>
      </c>
      <c r="I35" s="215">
        <f>SUM(I4:I33)</f>
        <v>5334433.4799999986</v>
      </c>
      <c r="J35" s="216"/>
    </row>
    <row r="36" spans="1:10" x14ac:dyDescent="0.25">
      <c r="A36" s="198"/>
      <c r="B36" s="211"/>
      <c r="C36" s="217"/>
      <c r="D36" s="217"/>
      <c r="E36" s="217"/>
      <c r="F36" s="217"/>
      <c r="G36" s="217"/>
      <c r="H36" s="217"/>
      <c r="I36" s="218"/>
    </row>
    <row r="37" spans="1:10" x14ac:dyDescent="0.25">
      <c r="A37" s="198" t="s">
        <v>235</v>
      </c>
      <c r="B37" s="211" t="s">
        <v>236</v>
      </c>
      <c r="C37" s="207">
        <v>-491719</v>
      </c>
      <c r="D37" s="207">
        <v>-830406</v>
      </c>
      <c r="E37" s="207">
        <v>-712964</v>
      </c>
      <c r="F37" s="207">
        <v>-1015734</v>
      </c>
      <c r="G37" s="207">
        <v>-619612</v>
      </c>
      <c r="H37" s="207">
        <v>0</v>
      </c>
      <c r="I37" s="208">
        <v>0</v>
      </c>
    </row>
    <row r="38" spans="1:10" x14ac:dyDescent="0.25">
      <c r="A38" s="198" t="s">
        <v>237</v>
      </c>
      <c r="B38" s="211" t="s">
        <v>238</v>
      </c>
      <c r="C38" s="207">
        <v>-1472607</v>
      </c>
      <c r="D38" s="207">
        <v>-1159858</v>
      </c>
      <c r="E38" s="207">
        <v>-1149747</v>
      </c>
      <c r="F38" s="207">
        <v>-1574050</v>
      </c>
      <c r="G38" s="207">
        <v>-2081299</v>
      </c>
      <c r="H38" s="207">
        <v>-2386479</v>
      </c>
      <c r="I38" s="208">
        <v>-2535385</v>
      </c>
    </row>
    <row r="39" spans="1:10" ht="15.75" thickBot="1" x14ac:dyDescent="0.3">
      <c r="A39" s="198"/>
      <c r="B39" s="211"/>
      <c r="C39" s="207"/>
      <c r="D39" s="207"/>
      <c r="E39" s="207"/>
      <c r="F39" s="207"/>
      <c r="G39" s="207"/>
      <c r="H39" s="207"/>
      <c r="I39" s="208"/>
    </row>
    <row r="40" spans="1:10" ht="15.75" thickBot="1" x14ac:dyDescent="0.3">
      <c r="A40" s="212" t="s">
        <v>239</v>
      </c>
      <c r="B40" s="212" t="s">
        <v>240</v>
      </c>
      <c r="C40" s="214">
        <f t="shared" ref="C40:I40" si="2">C35+C37+C38</f>
        <v>-7435411.9129000138</v>
      </c>
      <c r="D40" s="214">
        <f t="shared" si="2"/>
        <v>24263477.020735841</v>
      </c>
      <c r="E40" s="214">
        <f t="shared" si="2"/>
        <v>-4583837</v>
      </c>
      <c r="F40" s="214">
        <f t="shared" si="2"/>
        <v>-4129050.0685039228</v>
      </c>
      <c r="G40" s="214">
        <f t="shared" si="2"/>
        <v>5218277</v>
      </c>
      <c r="H40" s="214">
        <f t="shared" si="2"/>
        <v>-466400.29000000004</v>
      </c>
      <c r="I40" s="215">
        <f t="shared" si="2"/>
        <v>2799048.4799999986</v>
      </c>
    </row>
    <row r="41" spans="1:10" x14ac:dyDescent="0.25">
      <c r="A41" s="198"/>
      <c r="B41" s="211"/>
      <c r="C41" s="217"/>
      <c r="D41" s="217"/>
      <c r="E41" s="217"/>
      <c r="F41" s="217"/>
      <c r="G41" s="217"/>
      <c r="H41" s="217"/>
      <c r="I41" s="218"/>
    </row>
    <row r="42" spans="1:10" ht="15.75" thickBot="1" x14ac:dyDescent="0.3">
      <c r="A42" s="219" t="s">
        <v>241</v>
      </c>
      <c r="B42" s="220" t="s">
        <v>242</v>
      </c>
      <c r="C42" s="217"/>
      <c r="D42" s="217"/>
      <c r="E42" s="217"/>
      <c r="F42" s="217"/>
      <c r="G42" s="217"/>
      <c r="H42" s="217"/>
      <c r="I42" s="218"/>
    </row>
    <row r="43" spans="1:10" x14ac:dyDescent="0.25">
      <c r="A43" s="198" t="s">
        <v>243</v>
      </c>
      <c r="B43" s="198" t="s">
        <v>244</v>
      </c>
      <c r="C43" s="207">
        <v>0</v>
      </c>
      <c r="D43" s="207">
        <v>0</v>
      </c>
      <c r="E43" s="207"/>
      <c r="F43" s="207"/>
      <c r="G43" s="207"/>
      <c r="H43" s="207"/>
      <c r="I43" s="208"/>
    </row>
    <row r="44" spans="1:10" x14ac:dyDescent="0.25">
      <c r="A44" s="198" t="s">
        <v>245</v>
      </c>
      <c r="B44" s="198" t="s">
        <v>246</v>
      </c>
      <c r="C44" s="207">
        <v>86264</v>
      </c>
      <c r="D44" s="207">
        <v>105139</v>
      </c>
      <c r="E44" s="207">
        <v>128719</v>
      </c>
      <c r="F44" s="207">
        <v>316730</v>
      </c>
      <c r="G44" s="207">
        <v>983890</v>
      </c>
      <c r="H44" s="207">
        <v>1013506</v>
      </c>
      <c r="I44" s="208">
        <v>787321</v>
      </c>
    </row>
    <row r="45" spans="1:10" x14ac:dyDescent="0.25">
      <c r="A45" s="198" t="s">
        <v>247</v>
      </c>
      <c r="B45" s="198" t="s">
        <v>248</v>
      </c>
      <c r="C45" s="207">
        <v>0</v>
      </c>
      <c r="D45" s="207">
        <v>0</v>
      </c>
      <c r="E45" s="207"/>
      <c r="F45" s="207">
        <v>7166500</v>
      </c>
      <c r="G45" s="207">
        <v>39418400</v>
      </c>
      <c r="H45" s="207">
        <v>0</v>
      </c>
      <c r="I45" s="208">
        <v>0</v>
      </c>
    </row>
    <row r="46" spans="1:10" x14ac:dyDescent="0.25">
      <c r="A46" s="198" t="s">
        <v>249</v>
      </c>
      <c r="B46" s="198" t="s">
        <v>250</v>
      </c>
      <c r="C46" s="207">
        <v>-2189850.5499999998</v>
      </c>
      <c r="D46" s="207">
        <v>-1148663.9200000002</v>
      </c>
      <c r="E46" s="207">
        <v>-3657007</v>
      </c>
      <c r="F46" s="207">
        <v>-5756881</v>
      </c>
      <c r="G46" s="207">
        <v>-13307466</v>
      </c>
      <c r="H46" s="207">
        <v>-17320150</v>
      </c>
      <c r="I46" s="208">
        <v>-19226266.359999999</v>
      </c>
    </row>
    <row r="47" spans="1:10" x14ac:dyDescent="0.25">
      <c r="A47" s="198" t="s">
        <v>251</v>
      </c>
      <c r="B47" s="198" t="s">
        <v>252</v>
      </c>
      <c r="C47" s="207">
        <v>0</v>
      </c>
      <c r="D47" s="207">
        <v>0</v>
      </c>
      <c r="E47" s="207"/>
      <c r="F47" s="207"/>
      <c r="G47" s="207"/>
      <c r="H47" s="207">
        <v>-615991</v>
      </c>
      <c r="I47" s="208">
        <v>0</v>
      </c>
    </row>
    <row r="48" spans="1:10" x14ac:dyDescent="0.25">
      <c r="A48" s="198" t="s">
        <v>253</v>
      </c>
      <c r="B48" s="198" t="s">
        <v>254</v>
      </c>
      <c r="C48" s="207">
        <v>0</v>
      </c>
      <c r="D48" s="207">
        <v>1191675</v>
      </c>
      <c r="E48" s="207">
        <v>2862617</v>
      </c>
      <c r="F48" s="207">
        <v>2373151</v>
      </c>
      <c r="G48" s="207">
        <v>0</v>
      </c>
      <c r="H48" s="207">
        <v>0</v>
      </c>
      <c r="I48" s="208">
        <v>9356191</v>
      </c>
    </row>
    <row r="49" spans="1:9" x14ac:dyDescent="0.25">
      <c r="A49" s="198" t="s">
        <v>255</v>
      </c>
      <c r="B49" s="198" t="s">
        <v>256</v>
      </c>
      <c r="C49" s="207">
        <v>157638</v>
      </c>
      <c r="D49" s="207">
        <v>2436</v>
      </c>
      <c r="E49" s="207">
        <v>517739</v>
      </c>
      <c r="F49" s="207">
        <v>915614</v>
      </c>
      <c r="G49" s="207">
        <v>0</v>
      </c>
      <c r="H49" s="207">
        <v>1796170</v>
      </c>
      <c r="I49" s="208">
        <v>1091498</v>
      </c>
    </row>
    <row r="50" spans="1:9" x14ac:dyDescent="0.25">
      <c r="A50" s="198" t="s">
        <v>257</v>
      </c>
      <c r="B50" s="198" t="s">
        <v>258</v>
      </c>
      <c r="C50" s="207">
        <v>0</v>
      </c>
      <c r="D50" s="207">
        <v>0</v>
      </c>
      <c r="E50" s="207">
        <v>-3164051</v>
      </c>
      <c r="F50" s="207">
        <v>0</v>
      </c>
      <c r="G50" s="207">
        <v>7752606</v>
      </c>
      <c r="H50" s="207">
        <v>0</v>
      </c>
      <c r="I50" s="208">
        <v>0</v>
      </c>
    </row>
    <row r="51" spans="1:9" x14ac:dyDescent="0.25">
      <c r="A51" s="198" t="s">
        <v>259</v>
      </c>
      <c r="B51" s="198" t="s">
        <v>260</v>
      </c>
      <c r="C51" s="207">
        <v>16186151</v>
      </c>
      <c r="D51" s="207">
        <v>4062150</v>
      </c>
      <c r="E51" s="207">
        <v>0</v>
      </c>
      <c r="F51" s="207">
        <v>0</v>
      </c>
      <c r="G51" s="207"/>
      <c r="H51" s="207"/>
      <c r="I51" s="208"/>
    </row>
    <row r="52" spans="1:9" x14ac:dyDescent="0.25">
      <c r="A52" s="198" t="s">
        <v>261</v>
      </c>
      <c r="B52" s="198" t="s">
        <v>262</v>
      </c>
      <c r="C52" s="207">
        <v>0</v>
      </c>
      <c r="D52" s="207">
        <v>0</v>
      </c>
      <c r="E52" s="207"/>
      <c r="F52" s="207"/>
      <c r="G52" s="207"/>
      <c r="H52" s="207"/>
      <c r="I52" s="208"/>
    </row>
    <row r="53" spans="1:9" x14ac:dyDescent="0.25">
      <c r="A53" s="198" t="s">
        <v>263</v>
      </c>
      <c r="B53" s="198" t="s">
        <v>264</v>
      </c>
      <c r="C53" s="207"/>
      <c r="D53" s="207"/>
      <c r="E53" s="207"/>
      <c r="F53" s="207">
        <v>912179.25</v>
      </c>
      <c r="G53" s="207">
        <v>0</v>
      </c>
      <c r="H53" s="207">
        <v>0</v>
      </c>
      <c r="I53" s="208">
        <v>0</v>
      </c>
    </row>
    <row r="54" spans="1:9" x14ac:dyDescent="0.25">
      <c r="A54" s="198" t="s">
        <v>265</v>
      </c>
      <c r="B54" s="198" t="s">
        <v>266</v>
      </c>
      <c r="C54" s="207">
        <v>1436810.5</v>
      </c>
      <c r="D54" s="207">
        <f>-258311.4+47768</f>
        <v>-210543.4</v>
      </c>
      <c r="E54" s="207">
        <v>-694542.51</v>
      </c>
      <c r="F54" s="207">
        <v>0</v>
      </c>
      <c r="G54" s="207"/>
      <c r="H54" s="207"/>
      <c r="I54" s="208">
        <v>1000000</v>
      </c>
    </row>
    <row r="55" spans="1:9" x14ac:dyDescent="0.25">
      <c r="A55" s="198" t="s">
        <v>267</v>
      </c>
      <c r="B55" s="198" t="s">
        <v>268</v>
      </c>
      <c r="C55" s="207"/>
      <c r="D55" s="207"/>
      <c r="E55" s="207"/>
      <c r="F55" s="207">
        <v>-1000</v>
      </c>
      <c r="G55" s="207"/>
      <c r="H55" s="207"/>
      <c r="I55" s="208"/>
    </row>
    <row r="56" spans="1:9" x14ac:dyDescent="0.25">
      <c r="A56" s="198" t="s">
        <v>269</v>
      </c>
      <c r="B56" s="198" t="s">
        <v>270</v>
      </c>
      <c r="C56" s="207"/>
      <c r="D56" s="207"/>
      <c r="E56" s="207"/>
      <c r="F56" s="207"/>
      <c r="G56" s="207">
        <v>-2529566</v>
      </c>
      <c r="H56" s="207">
        <v>-2657950</v>
      </c>
      <c r="I56" s="208"/>
    </row>
    <row r="57" spans="1:9" x14ac:dyDescent="0.25">
      <c r="A57" s="198" t="s">
        <v>271</v>
      </c>
      <c r="B57" s="198" t="s">
        <v>272</v>
      </c>
      <c r="C57" s="207"/>
      <c r="D57" s="207"/>
      <c r="E57" s="207"/>
      <c r="F57" s="207"/>
      <c r="G57" s="207" t="s">
        <v>273</v>
      </c>
      <c r="H57" s="207">
        <v>782307</v>
      </c>
      <c r="I57" s="208">
        <v>1229722.6500000001</v>
      </c>
    </row>
    <row r="58" spans="1:9" x14ac:dyDescent="0.25">
      <c r="A58" s="198" t="s">
        <v>274</v>
      </c>
      <c r="B58" s="198" t="s">
        <v>275</v>
      </c>
      <c r="C58" s="207">
        <v>0</v>
      </c>
      <c r="D58" s="207">
        <v>0</v>
      </c>
      <c r="E58" s="207">
        <v>0</v>
      </c>
      <c r="F58" s="207">
        <v>0</v>
      </c>
      <c r="G58" s="207">
        <v>23061548</v>
      </c>
      <c r="H58" s="207">
        <v>43412</v>
      </c>
      <c r="I58" s="208">
        <v>0</v>
      </c>
    </row>
    <row r="59" spans="1:9" x14ac:dyDescent="0.25">
      <c r="A59" s="198" t="s">
        <v>276</v>
      </c>
      <c r="B59" s="198" t="s">
        <v>277</v>
      </c>
      <c r="C59" s="207">
        <v>0</v>
      </c>
      <c r="D59" s="207">
        <v>-215514</v>
      </c>
      <c r="E59" s="207">
        <v>8254.3899999998976</v>
      </c>
      <c r="F59" s="207">
        <v>-153218.91000000003</v>
      </c>
      <c r="G59" s="207">
        <v>-593862</v>
      </c>
      <c r="H59" s="207"/>
      <c r="I59" s="208">
        <v>0</v>
      </c>
    </row>
    <row r="60" spans="1:9" ht="15.75" thickBot="1" x14ac:dyDescent="0.3">
      <c r="A60" s="198"/>
      <c r="B60" s="198"/>
      <c r="C60" s="217"/>
      <c r="D60" s="217"/>
      <c r="E60" s="217"/>
      <c r="F60" s="217"/>
      <c r="G60" s="217"/>
      <c r="H60" s="217"/>
      <c r="I60" s="218"/>
    </row>
    <row r="61" spans="1:9" ht="15.75" thickBot="1" x14ac:dyDescent="0.3">
      <c r="A61" s="212" t="s">
        <v>278</v>
      </c>
      <c r="B61" s="212" t="s">
        <v>279</v>
      </c>
      <c r="C61" s="214">
        <f t="shared" ref="C61:I61" si="3">SUM(C43:C59)</f>
        <v>15677012.949999999</v>
      </c>
      <c r="D61" s="214">
        <f t="shared" si="3"/>
        <v>3786678.68</v>
      </c>
      <c r="E61" s="214">
        <f t="shared" si="3"/>
        <v>-3998271.12</v>
      </c>
      <c r="F61" s="214">
        <f t="shared" si="3"/>
        <v>5773074.3399999999</v>
      </c>
      <c r="G61" s="214">
        <f t="shared" si="3"/>
        <v>54785550</v>
      </c>
      <c r="H61" s="214">
        <f t="shared" si="3"/>
        <v>-16958696</v>
      </c>
      <c r="I61" s="215">
        <f t="shared" si="3"/>
        <v>-5761533.709999999</v>
      </c>
    </row>
    <row r="62" spans="1:9" x14ac:dyDescent="0.25">
      <c r="A62" s="198"/>
      <c r="B62" s="198"/>
      <c r="C62" s="217"/>
      <c r="D62" s="217"/>
      <c r="E62" s="217"/>
      <c r="F62" s="217"/>
      <c r="G62" s="217"/>
      <c r="H62" s="217"/>
      <c r="I62" s="218"/>
    </row>
    <row r="63" spans="1:9" ht="15.75" thickBot="1" x14ac:dyDescent="0.3">
      <c r="A63" s="219" t="s">
        <v>280</v>
      </c>
      <c r="B63" s="219"/>
      <c r="C63" s="217"/>
      <c r="D63" s="217"/>
      <c r="E63" s="217"/>
      <c r="F63" s="217"/>
      <c r="G63" s="217"/>
      <c r="H63" s="217"/>
      <c r="I63" s="218"/>
    </row>
    <row r="64" spans="1:9" x14ac:dyDescent="0.25">
      <c r="A64" s="198" t="s">
        <v>281</v>
      </c>
      <c r="B64" s="198" t="s">
        <v>282</v>
      </c>
      <c r="C64" s="207">
        <v>0</v>
      </c>
      <c r="D64" s="207">
        <v>0</v>
      </c>
      <c r="E64" s="207"/>
      <c r="F64" s="207"/>
      <c r="G64" s="207"/>
      <c r="H64" s="207"/>
      <c r="I64" s="208"/>
    </row>
    <row r="65" spans="1:9" x14ac:dyDescent="0.25">
      <c r="A65" s="221" t="s">
        <v>283</v>
      </c>
      <c r="B65" s="221" t="s">
        <v>284</v>
      </c>
      <c r="C65" s="207">
        <v>-4990888.0199999996</v>
      </c>
      <c r="D65" s="207">
        <v>-16011002.799584899</v>
      </c>
      <c r="E65" s="207">
        <v>6433108</v>
      </c>
      <c r="F65" s="207">
        <v>-1002830</v>
      </c>
      <c r="G65" s="207">
        <v>-4442587</v>
      </c>
      <c r="H65" s="207">
        <v>-3064925</v>
      </c>
      <c r="I65" s="222">
        <v>11992084.23</v>
      </c>
    </row>
    <row r="66" spans="1:9" x14ac:dyDescent="0.25">
      <c r="A66" s="198" t="s">
        <v>263</v>
      </c>
      <c r="B66" s="198" t="s">
        <v>264</v>
      </c>
      <c r="C66" s="207"/>
      <c r="D66" s="207">
        <v>0</v>
      </c>
      <c r="E66" s="207"/>
      <c r="F66" s="207"/>
      <c r="G66" s="207"/>
      <c r="H66" s="207">
        <v>2315700</v>
      </c>
      <c r="I66" s="208"/>
    </row>
    <row r="67" spans="1:9" x14ac:dyDescent="0.25">
      <c r="A67" s="198" t="s">
        <v>285</v>
      </c>
      <c r="B67" s="198" t="s">
        <v>286</v>
      </c>
      <c r="C67" s="207">
        <v>-1032280</v>
      </c>
      <c r="D67" s="207">
        <v>0</v>
      </c>
      <c r="E67" s="207">
        <v>-2641221</v>
      </c>
      <c r="F67" s="207">
        <v>-10666862.290000001</v>
      </c>
      <c r="G67" s="207">
        <v>-28951452</v>
      </c>
      <c r="H67" s="207">
        <v>-2641220</v>
      </c>
      <c r="I67" s="208"/>
    </row>
    <row r="68" spans="1:9" ht="15.75" thickBot="1" x14ac:dyDescent="0.3">
      <c r="A68" s="198"/>
      <c r="B68" s="198"/>
      <c r="C68" s="217"/>
      <c r="D68" s="217"/>
      <c r="E68" s="217"/>
      <c r="F68" s="217"/>
      <c r="G68" s="217"/>
      <c r="H68" s="217"/>
      <c r="I68" s="218"/>
    </row>
    <row r="69" spans="1:9" ht="15.75" thickBot="1" x14ac:dyDescent="0.3">
      <c r="A69" s="212" t="s">
        <v>287</v>
      </c>
      <c r="B69" s="212" t="s">
        <v>288</v>
      </c>
      <c r="C69" s="214">
        <f t="shared" ref="C69:I69" si="4">SUM(C64:C67)</f>
        <v>-6023168.0199999996</v>
      </c>
      <c r="D69" s="214">
        <f t="shared" si="4"/>
        <v>-16011002.799584899</v>
      </c>
      <c r="E69" s="214">
        <f t="shared" si="4"/>
        <v>3791887</v>
      </c>
      <c r="F69" s="214">
        <f t="shared" si="4"/>
        <v>-11669692.290000001</v>
      </c>
      <c r="G69" s="214">
        <f t="shared" si="4"/>
        <v>-33394039</v>
      </c>
      <c r="H69" s="214">
        <f t="shared" si="4"/>
        <v>-3390445</v>
      </c>
      <c r="I69" s="206">
        <f t="shared" si="4"/>
        <v>11992084.23</v>
      </c>
    </row>
    <row r="70" spans="1:9" ht="15.75" thickBot="1" x14ac:dyDescent="0.3">
      <c r="A70" s="198"/>
      <c r="B70" s="198"/>
      <c r="C70" s="217"/>
      <c r="D70" s="217"/>
      <c r="E70" s="217"/>
      <c r="F70" s="217"/>
      <c r="G70" s="217"/>
      <c r="H70" s="217"/>
      <c r="I70" s="223"/>
    </row>
    <row r="71" spans="1:9" ht="15.75" thickBot="1" x14ac:dyDescent="0.3">
      <c r="A71" s="212" t="s">
        <v>289</v>
      </c>
      <c r="B71" s="212" t="s">
        <v>290</v>
      </c>
      <c r="C71" s="214">
        <f t="shared" ref="C71:I71" si="5">C69+C61+C40</f>
        <v>2218433.0170999859</v>
      </c>
      <c r="D71" s="214">
        <f t="shared" si="5"/>
        <v>12039152.901150942</v>
      </c>
      <c r="E71" s="214">
        <f t="shared" si="5"/>
        <v>-4790221.12</v>
      </c>
      <c r="F71" s="214">
        <f t="shared" si="5"/>
        <v>-10025668.018503923</v>
      </c>
      <c r="G71" s="214">
        <f t="shared" si="5"/>
        <v>26609788</v>
      </c>
      <c r="H71" s="214">
        <f t="shared" si="5"/>
        <v>-20815541.289999999</v>
      </c>
      <c r="I71" s="215">
        <f t="shared" si="5"/>
        <v>9029599</v>
      </c>
    </row>
    <row r="72" spans="1:9" x14ac:dyDescent="0.25">
      <c r="A72" s="198"/>
      <c r="B72" s="198"/>
      <c r="C72" s="217"/>
      <c r="D72" s="217"/>
      <c r="E72" s="217"/>
      <c r="F72" s="217"/>
      <c r="G72" s="217"/>
      <c r="H72" s="217"/>
      <c r="I72" s="218"/>
    </row>
    <row r="73" spans="1:9" x14ac:dyDescent="0.25">
      <c r="A73" s="198" t="s">
        <v>291</v>
      </c>
      <c r="B73" s="198" t="s">
        <v>292</v>
      </c>
      <c r="C73" s="207">
        <v>3331011.1876000511</v>
      </c>
      <c r="D73" s="207">
        <v>5549445.1199999992</v>
      </c>
      <c r="E73" s="207">
        <f>D77</f>
        <v>17588598.021150939</v>
      </c>
      <c r="F73" s="207">
        <f>E77</f>
        <v>12798376.901150938</v>
      </c>
      <c r="G73" s="207">
        <f>F77</f>
        <v>2772708.8826470152</v>
      </c>
      <c r="H73" s="207">
        <f>G77</f>
        <v>29382496.882647015</v>
      </c>
      <c r="I73" s="208">
        <f>H77</f>
        <v>8566955.592647016</v>
      </c>
    </row>
    <row r="74" spans="1:9" x14ac:dyDescent="0.25">
      <c r="A74" s="198"/>
      <c r="B74" s="198"/>
      <c r="C74" s="207"/>
      <c r="D74" s="207"/>
      <c r="E74" s="207"/>
      <c r="F74" s="207"/>
      <c r="G74" s="207"/>
      <c r="H74" s="207"/>
      <c r="I74" s="208"/>
    </row>
    <row r="75" spans="1:9" ht="30" x14ac:dyDescent="0.25">
      <c r="A75" s="198" t="s">
        <v>293</v>
      </c>
      <c r="B75" s="198" t="s">
        <v>294</v>
      </c>
      <c r="C75" s="207">
        <v>0</v>
      </c>
      <c r="D75" s="207">
        <v>0</v>
      </c>
      <c r="E75" s="207">
        <v>0</v>
      </c>
      <c r="F75" s="207">
        <v>0</v>
      </c>
      <c r="G75" s="207">
        <v>0</v>
      </c>
      <c r="H75" s="207">
        <v>0</v>
      </c>
      <c r="I75" s="208">
        <v>0</v>
      </c>
    </row>
    <row r="76" spans="1:9" ht="15.75" thickBot="1" x14ac:dyDescent="0.3">
      <c r="A76" s="198"/>
      <c r="B76" s="198"/>
      <c r="C76" s="217"/>
      <c r="D76" s="217"/>
      <c r="E76" s="217"/>
      <c r="F76" s="217"/>
      <c r="G76" s="217"/>
      <c r="H76" s="217"/>
      <c r="I76" s="218"/>
    </row>
    <row r="77" spans="1:9" ht="15.75" thickBot="1" x14ac:dyDescent="0.3">
      <c r="A77" s="212" t="s">
        <v>295</v>
      </c>
      <c r="B77" s="212" t="s">
        <v>296</v>
      </c>
      <c r="C77" s="224">
        <f t="shared" ref="C77:I77" si="6">C71+C73+C75</f>
        <v>5549444.2047000369</v>
      </c>
      <c r="D77" s="224">
        <f t="shared" si="6"/>
        <v>17588598.021150939</v>
      </c>
      <c r="E77" s="224">
        <f t="shared" si="6"/>
        <v>12798376.901150938</v>
      </c>
      <c r="F77" s="224">
        <f t="shared" si="6"/>
        <v>2772708.8826470152</v>
      </c>
      <c r="G77" s="224">
        <f t="shared" si="6"/>
        <v>29382496.882647015</v>
      </c>
      <c r="H77" s="224">
        <f t="shared" si="6"/>
        <v>8566955.592647016</v>
      </c>
      <c r="I77" s="225">
        <f t="shared" si="6"/>
        <v>17596554.592647016</v>
      </c>
    </row>
    <row r="79" spans="1:9" x14ac:dyDescent="0.25">
      <c r="A79" s="226"/>
      <c r="B79" s="226"/>
      <c r="C79" s="227"/>
      <c r="D79" s="227"/>
      <c r="E79" s="227"/>
      <c r="F79" s="227"/>
      <c r="G79" s="227"/>
      <c r="H79" s="227"/>
      <c r="I79" s="227"/>
    </row>
    <row r="80" spans="1:9" x14ac:dyDescent="0.25">
      <c r="C80" s="227">
        <f>C77-'1.Pozitia Financiara'!B14</f>
        <v>-0.91529996227473021</v>
      </c>
      <c r="D80" s="227">
        <f>D77-'1.Pozitia Financiara'!C14</f>
        <v>-0.10884905979037285</v>
      </c>
      <c r="E80" s="227">
        <f>E77-'1.Pozitia Financiara'!D14</f>
        <v>-9.8849061876535416E-2</v>
      </c>
      <c r="F80" s="227">
        <f>F77-'1.Pozitia Financiara'!E14</f>
        <v>-1.1173529848456383</v>
      </c>
      <c r="G80" s="227">
        <f>G77-'1.Pozitia Financiara'!F14</f>
        <v>-0.11735298484563828</v>
      </c>
      <c r="H80" s="227">
        <f>H77-'1.Pozitia Financiara'!G14</f>
        <v>-1.4073529839515686</v>
      </c>
      <c r="I80" s="227">
        <f>I77-'1.Pozitia Financiara'!H14</f>
        <v>-0.4073529839515686</v>
      </c>
    </row>
    <row r="82" spans="3:9" x14ac:dyDescent="0.25">
      <c r="C82" s="227"/>
      <c r="D82" s="227"/>
      <c r="E82" s="227"/>
      <c r="F82" s="227"/>
      <c r="G82" s="227"/>
      <c r="H82" s="227"/>
      <c r="I82" s="227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1"/>
  <sheetViews>
    <sheetView showGridLines="0" zoomScale="90" zoomScaleNormal="90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M17" sqref="M17"/>
    </sheetView>
  </sheetViews>
  <sheetFormatPr defaultColWidth="9.140625" defaultRowHeight="15" x14ac:dyDescent="0.25"/>
  <cols>
    <col min="1" max="1" width="39.5703125" style="1" bestFit="1" customWidth="1"/>
    <col min="2" max="2" width="43.140625" style="1" bestFit="1" customWidth="1"/>
    <col min="3" max="4" width="12.140625" style="1" bestFit="1" customWidth="1"/>
    <col min="5" max="6" width="12.7109375" style="1" bestFit="1" customWidth="1"/>
    <col min="7" max="7" width="12.85546875" style="1" bestFit="1" customWidth="1"/>
    <col min="8" max="9" width="12.42578125" style="1" bestFit="1" customWidth="1"/>
    <col min="10" max="12" width="9.140625" style="1"/>
    <col min="13" max="13" width="15.5703125" style="1" customWidth="1"/>
    <col min="14" max="14" width="15.7109375" style="1" bestFit="1" customWidth="1"/>
    <col min="15" max="15" width="15" style="1" bestFit="1" customWidth="1"/>
    <col min="16" max="16" width="2.42578125" style="1" customWidth="1"/>
    <col min="17" max="16384" width="9.140625" style="1"/>
  </cols>
  <sheetData>
    <row r="2" spans="1:19" ht="15.75" thickBot="1" x14ac:dyDescent="0.3">
      <c r="I2" s="36"/>
    </row>
    <row r="3" spans="1:19" ht="24" customHeight="1" thickBot="1" x14ac:dyDescent="0.3">
      <c r="A3" s="136" t="s">
        <v>0</v>
      </c>
      <c r="B3" s="136" t="s">
        <v>25</v>
      </c>
      <c r="C3" s="137">
        <f>'EBIT-EBITDA'!B2</f>
        <v>2019</v>
      </c>
      <c r="D3" s="137">
        <f>'EBIT-EBITDA'!C2</f>
        <v>2020</v>
      </c>
      <c r="E3" s="137">
        <f>'EBIT-EBITDA'!D2</f>
        <v>2021</v>
      </c>
      <c r="F3" s="137">
        <f>'EBIT-EBITDA'!E2</f>
        <v>2022</v>
      </c>
      <c r="G3" s="137">
        <f>'EBIT-EBITDA'!F2</f>
        <v>2023</v>
      </c>
      <c r="H3" s="137">
        <f>'EBIT-EBITDA'!G2</f>
        <v>2024</v>
      </c>
      <c r="I3" s="137">
        <f>'EBIT-EBITDA'!H2</f>
        <v>2025</v>
      </c>
    </row>
    <row r="4" spans="1:19" x14ac:dyDescent="0.25">
      <c r="A4" s="6" t="s">
        <v>48</v>
      </c>
      <c r="B4" s="6" t="s">
        <v>59</v>
      </c>
      <c r="C4" s="6">
        <f>'EBIT-EBITDA'!B6</f>
        <v>2060147.2999999819</v>
      </c>
      <c r="D4" s="6">
        <f>'EBIT-EBITDA'!C6</f>
        <v>2267260.4399999618</v>
      </c>
      <c r="E4" s="6">
        <f>'EBIT-EBITDA'!D6</f>
        <v>394684</v>
      </c>
      <c r="F4" s="6">
        <f>'EBIT-EBITDA'!E6</f>
        <v>53670160</v>
      </c>
      <c r="G4" s="6">
        <f>'EBIT-EBITDA'!F6</f>
        <v>5303794</v>
      </c>
      <c r="H4" s="6">
        <f>'EBIT-EBITDA'!G6</f>
        <v>-5392331</v>
      </c>
      <c r="I4" s="138">
        <f>'EBIT-EBITDA'!H6</f>
        <v>4062103</v>
      </c>
      <c r="M4" s="98"/>
      <c r="N4" s="98"/>
      <c r="O4" s="98"/>
      <c r="Q4" s="118"/>
      <c r="R4" s="118"/>
      <c r="S4" s="118"/>
    </row>
    <row r="5" spans="1:19" x14ac:dyDescent="0.25">
      <c r="A5" s="6" t="s">
        <v>24</v>
      </c>
      <c r="B5" s="6" t="s">
        <v>59</v>
      </c>
      <c r="C5" s="6">
        <f>'EBIT-EBITDA'!B9</f>
        <v>10419423.999999983</v>
      </c>
      <c r="D5" s="6">
        <f>'EBIT-EBITDA'!C9</f>
        <v>10207662.439999962</v>
      </c>
      <c r="E5" s="6">
        <f>'EBIT-EBITDA'!D9</f>
        <v>8112816</v>
      </c>
      <c r="F5" s="6">
        <f>'EBIT-EBITDA'!E9</f>
        <v>61072654</v>
      </c>
      <c r="G5" s="6">
        <f>'EBIT-EBITDA'!F9</f>
        <v>12582621</v>
      </c>
      <c r="H5" s="6">
        <f>'EBIT-EBITDA'!G9</f>
        <v>2598383</v>
      </c>
      <c r="I5" s="138">
        <f>'EBIT-EBITDA'!H9</f>
        <v>11628192</v>
      </c>
      <c r="J5" s="50"/>
      <c r="M5" s="98"/>
      <c r="N5" s="98"/>
      <c r="O5" s="98"/>
      <c r="Q5" s="118"/>
      <c r="R5" s="118"/>
      <c r="S5" s="118"/>
    </row>
    <row r="6" spans="1:19" x14ac:dyDescent="0.25">
      <c r="A6" s="6" t="s">
        <v>29</v>
      </c>
      <c r="B6" s="6" t="s">
        <v>60</v>
      </c>
      <c r="C6" s="6">
        <f>'2.Sit. Rezultatului global'!B4+'2.Sit. Rezultatului global'!B46</f>
        <v>185722303.66999996</v>
      </c>
      <c r="D6" s="6">
        <f>'2.Sit. Rezultatului global'!C4+'2.Sit. Rezultatului global'!C46</f>
        <v>182851591.98999998</v>
      </c>
      <c r="E6" s="6">
        <f>'2.Sit. Rezultatului global'!D4+'2.Sit. Rezultatului global'!D46</f>
        <v>266937602</v>
      </c>
      <c r="F6" s="6">
        <f>'2.Sit. Rezultatului global'!E4+'2.Sit. Rezultatului global'!E46</f>
        <v>265048639</v>
      </c>
      <c r="G6" s="6">
        <f>'2.Sit. Rezultatului global'!F4+'2.Sit. Rezultatului global'!F46</f>
        <v>216420862</v>
      </c>
      <c r="H6" s="6">
        <f>'2.Sit. Rezultatului global'!G4+'2.Sit. Rezultatului global'!G46</f>
        <v>227789211</v>
      </c>
      <c r="I6" s="138">
        <f>'2.Sit. Rezultatului global'!H4+'2.Sit. Rezultatului global'!H46</f>
        <v>196460720</v>
      </c>
      <c r="J6" s="50"/>
      <c r="M6" s="98"/>
      <c r="N6" s="98"/>
      <c r="O6" s="98"/>
      <c r="Q6" s="118"/>
      <c r="R6" s="118"/>
      <c r="S6" s="118"/>
    </row>
    <row r="7" spans="1:19" x14ac:dyDescent="0.25">
      <c r="A7" s="1" t="s">
        <v>26</v>
      </c>
      <c r="B7" s="6" t="s">
        <v>40</v>
      </c>
      <c r="C7" s="14">
        <f t="shared" ref="C7:H7" si="0">C5/C6</f>
        <v>5.6102168636211307E-2</v>
      </c>
      <c r="D7" s="14">
        <f t="shared" si="0"/>
        <v>5.5824848604863184E-2</v>
      </c>
      <c r="E7" s="14">
        <f t="shared" si="0"/>
        <v>3.0392181315841746E-2</v>
      </c>
      <c r="F7" s="14">
        <f t="shared" si="0"/>
        <v>0.2304205531121403</v>
      </c>
      <c r="G7" s="14">
        <f t="shared" si="0"/>
        <v>5.8139593769846461E-2</v>
      </c>
      <c r="H7" s="14">
        <f t="shared" si="0"/>
        <v>1.1406962553639119E-2</v>
      </c>
      <c r="I7" s="139">
        <f t="shared" ref="I7" si="1">I5/I6</f>
        <v>5.9188381270311952E-2</v>
      </c>
      <c r="J7" s="50"/>
      <c r="M7" s="98"/>
      <c r="N7" s="98"/>
      <c r="O7" s="98"/>
      <c r="Q7" s="118"/>
      <c r="R7" s="118"/>
      <c r="S7" s="118"/>
    </row>
    <row r="8" spans="1:19" x14ac:dyDescent="0.25">
      <c r="A8" s="1" t="s">
        <v>27</v>
      </c>
      <c r="B8" s="1" t="s">
        <v>41</v>
      </c>
      <c r="C8" s="14">
        <f>C5/'1.Pozitia Financiara'!B22</f>
        <v>7.6024084354601409E-2</v>
      </c>
      <c r="D8" s="14">
        <f>D5/'1.Pozitia Financiara'!C22</f>
        <v>7.3854820080472908E-2</v>
      </c>
      <c r="E8" s="14">
        <f>E5/'1.Pozitia Financiara'!D22</f>
        <v>6.0478014066000771E-2</v>
      </c>
      <c r="F8" s="14">
        <f>F5/'1.Pozitia Financiara'!E22</f>
        <v>0.38117293016880222</v>
      </c>
      <c r="G8" s="14">
        <f>G5/'1.Pozitia Financiara'!F22</f>
        <v>8.3430200174261185E-2</v>
      </c>
      <c r="H8" s="14">
        <f>H5/'1.Pozitia Financiara'!G22</f>
        <v>1.8251094175496474E-2</v>
      </c>
      <c r="I8" s="139">
        <f>I5/'1.Pozitia Financiara'!H22</f>
        <v>8.151357069537099E-2</v>
      </c>
      <c r="J8" s="50"/>
      <c r="M8" s="98"/>
      <c r="N8" s="98"/>
      <c r="O8" s="98"/>
      <c r="Q8" s="118"/>
      <c r="R8" s="118"/>
      <c r="S8" s="118"/>
    </row>
    <row r="9" spans="1:19" x14ac:dyDescent="0.25">
      <c r="A9" s="1" t="s">
        <v>28</v>
      </c>
      <c r="B9" s="1" t="s">
        <v>42</v>
      </c>
      <c r="C9" s="14">
        <f>'2.Sit. Rezultatului global'!B17/C6</f>
        <v>3.1635401262518808E-3</v>
      </c>
      <c r="D9" s="14">
        <f>'2.Sit. Rezultatului global'!C17/D6</f>
        <v>6.0562909403628533E-3</v>
      </c>
      <c r="E9" s="14">
        <f>'2.Sit. Rezultatului global'!D17/E6</f>
        <v>-2.0917660000556986E-3</v>
      </c>
      <c r="F9" s="14">
        <f>'2.Sit. Rezultatului global'!E17/F6</f>
        <v>0.19763829460750409</v>
      </c>
      <c r="G9" s="14">
        <f>'2.Sit. Rezultatului global'!F17/G6</f>
        <v>1.6155244774877571E-2</v>
      </c>
      <c r="H9" s="14">
        <f>'2.Sit. Rezultatului global'!G17/H6</f>
        <v>-3.3569351096264168E-2</v>
      </c>
      <c r="I9" s="139">
        <f>'2.Sit. Rezultatului global'!H17/I6</f>
        <v>9.0440877952600394E-3</v>
      </c>
      <c r="J9" s="50"/>
      <c r="M9" s="98"/>
      <c r="N9" s="98"/>
      <c r="O9" s="98"/>
      <c r="Q9" s="118"/>
      <c r="R9" s="118"/>
      <c r="S9" s="118"/>
    </row>
    <row r="10" spans="1:19" x14ac:dyDescent="0.25">
      <c r="A10" s="1" t="s">
        <v>30</v>
      </c>
      <c r="B10" s="1" t="s">
        <v>43</v>
      </c>
      <c r="C10" s="15">
        <f>'1.Pozitia Financiara'!B16/'1.Pozitia Financiara'!B33</f>
        <v>1.1039275676009916</v>
      </c>
      <c r="D10" s="15">
        <f>'1.Pozitia Financiara'!C16/'1.Pozitia Financiara'!C33</f>
        <v>1.1571444672392197</v>
      </c>
      <c r="E10" s="15">
        <f>'1.Pozitia Financiara'!D16/'1.Pozitia Financiara'!D33</f>
        <v>1.18947280717453</v>
      </c>
      <c r="F10" s="15">
        <f>'1.Pozitia Financiara'!E16/'1.Pozitia Financiara'!E33</f>
        <v>1.4742601677552154</v>
      </c>
      <c r="G10" s="15">
        <f>'1.Pozitia Financiara'!F16/'1.Pozitia Financiara'!F33</f>
        <v>1.7689555132921435</v>
      </c>
      <c r="H10" s="15">
        <f>'1.Pozitia Financiara'!G16/'1.Pozitia Financiara'!G33</f>
        <v>1.3579198742806255</v>
      </c>
      <c r="I10" s="140">
        <f>'1.Pozitia Financiara'!H16/'1.Pozitia Financiara'!H33</f>
        <v>1.3470574635101122</v>
      </c>
      <c r="J10" s="50"/>
      <c r="M10" s="98"/>
      <c r="N10" s="98"/>
      <c r="O10" s="98"/>
      <c r="Q10" s="118"/>
      <c r="R10" s="118"/>
      <c r="S10" s="118"/>
    </row>
    <row r="11" spans="1:19" x14ac:dyDescent="0.25">
      <c r="A11" s="1" t="s">
        <v>31</v>
      </c>
      <c r="B11" s="1" t="s">
        <v>44</v>
      </c>
      <c r="C11" s="15">
        <f>('1.Pozitia Financiara'!B16-'1.Pozitia Financiara'!B9)/'1.Pozitia Financiara'!B33</f>
        <v>0.7656496904835316</v>
      </c>
      <c r="D11" s="15">
        <f>('1.Pozitia Financiara'!C16-'1.Pozitia Financiara'!C9)/'1.Pozitia Financiara'!C33</f>
        <v>0.82836974324024015</v>
      </c>
      <c r="E11" s="15">
        <f>('1.Pozitia Financiara'!D16-'1.Pozitia Financiara'!D9)/'1.Pozitia Financiara'!D33</f>
        <v>0.87822470906859362</v>
      </c>
      <c r="F11" s="15">
        <f>('1.Pozitia Financiara'!E16-'1.Pozitia Financiara'!E9)/'1.Pozitia Financiara'!E33</f>
        <v>1.1732500400577233</v>
      </c>
      <c r="G11" s="15">
        <f>('1.Pozitia Financiara'!F16-'1.Pozitia Financiara'!F9)/'1.Pozitia Financiara'!F33</f>
        <v>1.3209014425036081</v>
      </c>
      <c r="H11" s="15">
        <f>('1.Pozitia Financiara'!G16-'1.Pozitia Financiara'!G9)/'1.Pozitia Financiara'!G33</f>
        <v>0.88729675289000653</v>
      </c>
      <c r="I11" s="140">
        <f>('1.Pozitia Financiara'!H16-'1.Pozitia Financiara'!H9)/'1.Pozitia Financiara'!H33</f>
        <v>0.95141642843201302</v>
      </c>
      <c r="J11" s="50"/>
      <c r="M11" s="98"/>
      <c r="N11" s="98"/>
      <c r="O11" s="98"/>
      <c r="Q11" s="118"/>
      <c r="R11" s="118"/>
      <c r="S11" s="118"/>
    </row>
    <row r="12" spans="1:19" x14ac:dyDescent="0.25">
      <c r="A12" s="1" t="s">
        <v>32</v>
      </c>
      <c r="B12" s="1" t="s">
        <v>45</v>
      </c>
      <c r="C12" s="16">
        <f>'1.Pozitia Financiara'!B28/'1.Pozitia Financiara'!B22</f>
        <v>0.24963134328679032</v>
      </c>
      <c r="D12" s="16">
        <f>'1.Pozitia Financiara'!C28/'1.Pozitia Financiara'!C22</f>
        <v>0.18346612484681837</v>
      </c>
      <c r="E12" s="16">
        <f>'1.Pozitia Financiara'!D28/'1.Pozitia Financiara'!D22</f>
        <v>0.15692057604494056</v>
      </c>
      <c r="F12" s="16">
        <f>'1.Pozitia Financiara'!E28/'1.Pozitia Financiara'!E22</f>
        <v>0.12670226152423339</v>
      </c>
      <c r="G12" s="16">
        <f>'1.Pozitia Financiara'!F28/'1.Pozitia Financiara'!F22</f>
        <v>0.14082831305399449</v>
      </c>
      <c r="H12" s="16">
        <f>'1.Pozitia Financiara'!G28/'1.Pozitia Financiara'!G22</f>
        <v>9.251098635749179E-2</v>
      </c>
      <c r="I12" s="141">
        <f>'1.Pozitia Financiara'!H28/'1.Pozitia Financiara'!H22</f>
        <v>0.1036776895594021</v>
      </c>
      <c r="J12" s="50"/>
      <c r="M12" s="98"/>
      <c r="N12" s="98"/>
      <c r="O12" s="98"/>
      <c r="Q12" s="118"/>
      <c r="R12" s="118"/>
      <c r="S12" s="118"/>
    </row>
    <row r="13" spans="1:19" x14ac:dyDescent="0.25">
      <c r="A13" s="1" t="s">
        <v>33</v>
      </c>
      <c r="B13" s="1" t="s">
        <v>46</v>
      </c>
      <c r="C13" s="16">
        <f>'1.Pozitia Financiara'!B34/'1.Pozitia Financiara'!B35</f>
        <v>0.4433099577458306</v>
      </c>
      <c r="D13" s="16">
        <f>'1.Pozitia Financiara'!C34/'1.Pozitia Financiara'!C35</f>
        <v>0.40259328061249716</v>
      </c>
      <c r="E13" s="16">
        <f>'1.Pozitia Financiara'!D34/'1.Pozitia Financiara'!D35</f>
        <v>0.4502774227677922</v>
      </c>
      <c r="F13" s="16">
        <f>'1.Pozitia Financiara'!E34/'1.Pozitia Financiara'!E35</f>
        <v>0.42791289988612669</v>
      </c>
      <c r="G13" s="16">
        <f>'1.Pozitia Financiara'!F34/'1.Pozitia Financiara'!F35</f>
        <v>0.37455528715182279</v>
      </c>
      <c r="H13" s="16">
        <f>'1.Pozitia Financiara'!G34/'1.Pozitia Financiara'!G35</f>
        <v>0.39924839533896106</v>
      </c>
      <c r="I13" s="141">
        <f>'1.Pozitia Financiara'!H34/'1.Pozitia Financiara'!H35</f>
        <v>0.40355381681144253</v>
      </c>
      <c r="J13" s="50"/>
      <c r="M13" s="98"/>
      <c r="N13" s="98"/>
      <c r="O13" s="98"/>
      <c r="Q13" s="118"/>
      <c r="R13" s="118"/>
      <c r="S13" s="118"/>
    </row>
    <row r="14" spans="1:19" x14ac:dyDescent="0.25">
      <c r="A14" s="1" t="s">
        <v>34</v>
      </c>
      <c r="B14" s="1" t="s">
        <v>47</v>
      </c>
      <c r="C14" s="15">
        <f>'EBIT-EBITDA'!B6/'EBIT-EBITDA'!B5</f>
        <v>1.3989793776255264</v>
      </c>
      <c r="D14" s="15">
        <f>'EBIT-EBITDA'!C6/'EBIT-EBITDA'!C5</f>
        <v>1.9547741533877092</v>
      </c>
      <c r="E14" s="15">
        <f>'EBIT-EBITDA'!D6/'EBIT-EBITDA'!D5</f>
        <v>0.41412510295838123</v>
      </c>
      <c r="F14" s="15">
        <f>'EBIT-EBITDA'!E6/'EBIT-EBITDA'!E5</f>
        <v>41.721238900216804</v>
      </c>
      <c r="G14" s="15">
        <f>'EBIT-EBITDA'!F6/'EBIT-EBITDA'!F5</f>
        <v>2.9343875555889971</v>
      </c>
      <c r="H14" s="15">
        <f>'EBIT-EBITDA'!G6/'EBIT-EBITDA'!G5</f>
        <v>-2.3919087297978847</v>
      </c>
      <c r="I14" s="140">
        <f>'EBIT-EBITDA'!H6/'EBIT-EBITDA'!H5</f>
        <v>1.7774961219448693</v>
      </c>
      <c r="J14" s="50"/>
      <c r="M14" s="98"/>
      <c r="N14" s="98"/>
      <c r="O14" s="98"/>
      <c r="Q14" s="118"/>
      <c r="R14" s="118"/>
      <c r="S14" s="118"/>
    </row>
    <row r="15" spans="1:19" x14ac:dyDescent="0.25">
      <c r="A15" s="1" t="s">
        <v>35</v>
      </c>
      <c r="B15" s="1" t="s">
        <v>49</v>
      </c>
      <c r="C15" s="18">
        <f>(29483703.06+'1.Pozitia Financiara'!B10)/2/C6*360</f>
        <v>73.027916669067466</v>
      </c>
      <c r="D15" s="18">
        <f>('1.Pozitia Financiara'!B10+'1.Pozitia Financiara'!C10)/2/D6*360</f>
        <v>81.415906263556948</v>
      </c>
      <c r="E15" s="17">
        <f>('1.Pozitia Financiara'!C10+'1.Pozitia Financiara'!D10)/2/E6*360</f>
        <v>63.951771651863417</v>
      </c>
      <c r="F15" s="17">
        <f>('1.Pozitia Financiara'!D10+'1.Pozitia Financiara'!E10)/2/F6*360</f>
        <v>82.617395367949797</v>
      </c>
      <c r="G15" s="17">
        <f>('1.Pozitia Financiara'!E10+'1.Pozitia Financiara'!F10)/2/G6*360</f>
        <v>99.00902566407855</v>
      </c>
      <c r="H15" s="17">
        <f>('1.Pozitia Financiara'!F10+'1.Pozitia Financiara'!G10)/2/H6*360</f>
        <v>88.920418623338577</v>
      </c>
      <c r="I15" s="142">
        <f>('1.Pozitia Financiara'!G10+'1.Pozitia Financiara'!H10)/2/I6*360</f>
        <v>102.57126808860316</v>
      </c>
      <c r="J15" s="50"/>
      <c r="K15" s="38"/>
      <c r="M15" s="98"/>
      <c r="N15" s="98"/>
      <c r="O15" s="98"/>
      <c r="Q15" s="118"/>
      <c r="R15" s="118"/>
      <c r="S15" s="118"/>
    </row>
    <row r="16" spans="1:19" x14ac:dyDescent="0.25">
      <c r="A16" s="1" t="s">
        <v>36</v>
      </c>
      <c r="B16" s="1" t="s">
        <v>50</v>
      </c>
      <c r="C16" s="18">
        <f>(28922894.79+'1.Pozitia Financiara'!B29)/2/C6*360</f>
        <v>50.94633033635148</v>
      </c>
      <c r="D16" s="18">
        <f>('1.Pozitia Financiara'!B29+'1.Pozitia Financiara'!C29)/2/D6*360</f>
        <v>48.996371504875739</v>
      </c>
      <c r="E16" s="17">
        <f>('1.Pozitia Financiara'!C29+'1.Pozitia Financiara'!D29)/2/E6*360</f>
        <v>42.67836181430895</v>
      </c>
      <c r="F16" s="17">
        <f>('1.Pozitia Financiara'!D29+'1.Pozitia Financiara'!E29)/2/F6*360</f>
        <v>57.876568836107097</v>
      </c>
      <c r="G16" s="17">
        <f>('1.Pozitia Financiara'!E29+'1.Pozitia Financiara'!F29)/2/G6*360</f>
        <v>60.576656145099356</v>
      </c>
      <c r="H16" s="17">
        <f>('1.Pozitia Financiara'!F29+'1.Pozitia Financiara'!G29)/2/H6*360</f>
        <v>46.583712518324667</v>
      </c>
      <c r="I16" s="142">
        <f>('1.Pozitia Financiara'!G29+'1.Pozitia Financiara'!H29)/2/I6*360</f>
        <v>56.075246899227487</v>
      </c>
      <c r="J16" s="50"/>
      <c r="K16" s="38"/>
      <c r="M16" s="98"/>
      <c r="N16" s="98"/>
      <c r="O16" s="98"/>
      <c r="Q16" s="118"/>
      <c r="R16" s="118"/>
      <c r="S16" s="118"/>
    </row>
    <row r="17" spans="1:19" s="38" customFormat="1" x14ac:dyDescent="0.25">
      <c r="A17" s="38" t="s">
        <v>37</v>
      </c>
      <c r="B17" s="38" t="s">
        <v>51</v>
      </c>
      <c r="C17" s="39">
        <f>'2.Sit. Rezultatului global'!B19/'1.Pozitia Financiara'!B17</f>
        <v>1.5032722111705775E-3</v>
      </c>
      <c r="D17" s="39">
        <f>'2.Sit. Rezultatului global'!C19/'1.Pozitia Financiara'!C17</f>
        <v>3.7566014000971256E-3</v>
      </c>
      <c r="E17" s="39">
        <f>'2.Sit. Rezultatului global'!D19/'1.Pozitia Financiara'!D17</f>
        <v>-5.9316489474941425E-3</v>
      </c>
      <c r="F17" s="39">
        <f>'2.Sit. Rezultatului global'!E19/'1.Pozitia Financiara'!E17</f>
        <v>0.18378321322618113</v>
      </c>
      <c r="G17" s="39">
        <f>'2.Sit. Rezultatului global'!F19/'1.Pozitia Financiara'!F17</f>
        <v>1.3742589335670156E-2</v>
      </c>
      <c r="H17" s="39">
        <f>'2.Sit. Rezultatului global'!G19/'1.Pozitia Financiara'!G17</f>
        <v>-2.5288525506141316E-2</v>
      </c>
      <c r="I17" s="143">
        <f>'2.Sit. Rezultatului global'!H19/'1.Pozitia Financiara'!H17</f>
        <v>7.9591926781610346E-3</v>
      </c>
      <c r="J17" s="50"/>
      <c r="M17" s="147"/>
      <c r="N17" s="147"/>
      <c r="O17" s="147"/>
      <c r="Q17" s="197"/>
      <c r="R17" s="197"/>
      <c r="S17" s="197"/>
    </row>
    <row r="18" spans="1:19" s="38" customFormat="1" x14ac:dyDescent="0.25">
      <c r="A18" s="38" t="s">
        <v>38</v>
      </c>
      <c r="B18" s="38" t="s">
        <v>52</v>
      </c>
      <c r="C18" s="39">
        <f>'2.Sit. Rezultatului global'!B19/'1.Pozitia Financiara'!B22</f>
        <v>2.7003756187006654E-3</v>
      </c>
      <c r="D18" s="39">
        <f>'2.Sit. Rezultatului global'!C19/'1.Pozitia Financiara'!C22</f>
        <v>6.2881806955753577E-3</v>
      </c>
      <c r="E18" s="39">
        <f>'2.Sit. Rezultatului global'!D19/'1.Pozitia Financiara'!D22</f>
        <v>-1.0790258929075348E-2</v>
      </c>
      <c r="F18" s="39">
        <f>'2.Sit. Rezultatului global'!E19/'1.Pozitia Financiara'!E22</f>
        <v>0.32125040608256905</v>
      </c>
      <c r="G18" s="39">
        <f>'2.Sit. Rezultatului global'!F19/'1.Pozitia Financiara'!F22</f>
        <v>2.1972508606058174E-2</v>
      </c>
      <c r="H18" s="39">
        <f>'2.Sit. Rezultatului global'!G19/'1.Pozitia Financiara'!G22</f>
        <v>-4.2094811416125665E-2</v>
      </c>
      <c r="I18" s="143">
        <f>'2.Sit. Rezultatului global'!H19/'1.Pozitia Financiara'!H22</f>
        <v>1.3344360149329442E-2</v>
      </c>
      <c r="J18" s="50"/>
      <c r="K18" s="1"/>
      <c r="M18" s="147"/>
      <c r="N18" s="147"/>
      <c r="O18" s="147"/>
      <c r="Q18" s="197"/>
      <c r="R18" s="197"/>
      <c r="S18" s="197"/>
    </row>
    <row r="19" spans="1:19" s="38" customFormat="1" x14ac:dyDescent="0.25">
      <c r="A19" s="38" t="s">
        <v>39</v>
      </c>
      <c r="B19" s="38" t="s">
        <v>53</v>
      </c>
      <c r="C19" s="39">
        <f>'2.Sit. Rezultatului global'!B19/C6</f>
        <v>1.9927491350612853E-3</v>
      </c>
      <c r="D19" s="39">
        <f>'2.Sit. Rezultatului global'!C19/D6</f>
        <v>4.753064660478824E-3</v>
      </c>
      <c r="E19" s="39">
        <f>'2.Sit. Rezultatului global'!D19/E6</f>
        <v>-5.4224582417579372E-3</v>
      </c>
      <c r="F19" s="39">
        <f>'2.Sit. Rezultatului global'!E19/F6</f>
        <v>0.19419714884859304</v>
      </c>
      <c r="G19" s="39">
        <f>'2.Sit. Rezultatului global'!F19/G6</f>
        <v>1.531187413900976E-2</v>
      </c>
      <c r="H19" s="39">
        <f>'2.Sit. Rezultatului global'!G19/H6</f>
        <v>-2.6309323315580561E-2</v>
      </c>
      <c r="I19" s="143">
        <f>'2.Sit. Rezultatului global'!H19/I6</f>
        <v>9.689565425597544E-3</v>
      </c>
      <c r="J19" s="50"/>
      <c r="K19" s="1"/>
      <c r="M19" s="147"/>
      <c r="N19" s="147"/>
      <c r="O19" s="147"/>
      <c r="Q19" s="197"/>
      <c r="R19" s="197"/>
      <c r="S19" s="197"/>
    </row>
    <row r="20" spans="1:19" x14ac:dyDescent="0.25">
      <c r="K20" s="40"/>
      <c r="M20" s="98"/>
      <c r="N20" s="98"/>
      <c r="O20" s="98"/>
      <c r="Q20" s="197"/>
      <c r="R20" s="197"/>
      <c r="S20" s="197"/>
    </row>
    <row r="21" spans="1:19" x14ac:dyDescent="0.25">
      <c r="A21" s="10" t="s">
        <v>23</v>
      </c>
      <c r="Q21" s="197"/>
      <c r="R21" s="197"/>
      <c r="S21" s="197"/>
    </row>
    <row r="22" spans="1:19" x14ac:dyDescent="0.25">
      <c r="I22" s="40"/>
      <c r="J22" s="40"/>
      <c r="K22" s="40"/>
      <c r="Q22" s="197"/>
      <c r="R22" s="197"/>
      <c r="S22" s="197"/>
    </row>
    <row r="23" spans="1:19" x14ac:dyDescent="0.25">
      <c r="I23" s="40"/>
      <c r="J23" s="40"/>
      <c r="K23" s="40"/>
    </row>
    <row r="24" spans="1:19" x14ac:dyDescent="0.25">
      <c r="D24" s="98"/>
      <c r="E24" s="98"/>
      <c r="F24" s="98"/>
      <c r="I24" s="40"/>
      <c r="J24" s="40"/>
      <c r="K24" s="40"/>
    </row>
    <row r="25" spans="1:19" x14ac:dyDescent="0.25">
      <c r="D25" s="98"/>
      <c r="E25" s="98"/>
      <c r="F25" s="98"/>
      <c r="I25" s="40"/>
      <c r="J25" s="40"/>
      <c r="K25" s="40"/>
    </row>
    <row r="26" spans="1:19" x14ac:dyDescent="0.25">
      <c r="D26" s="98"/>
      <c r="E26" s="98"/>
      <c r="F26" s="98"/>
      <c r="I26" s="40"/>
      <c r="J26" s="40"/>
      <c r="K26" s="40"/>
    </row>
    <row r="27" spans="1:19" x14ac:dyDescent="0.25">
      <c r="D27" s="99"/>
      <c r="E27" s="99"/>
      <c r="F27" s="99"/>
      <c r="I27" s="40"/>
      <c r="J27" s="40"/>
      <c r="K27" s="40"/>
    </row>
    <row r="28" spans="1:19" x14ac:dyDescent="0.25">
      <c r="D28" s="99"/>
      <c r="E28" s="99"/>
      <c r="F28" s="99"/>
      <c r="I28" s="40"/>
      <c r="J28" s="40"/>
      <c r="K28" s="40"/>
    </row>
    <row r="29" spans="1:19" x14ac:dyDescent="0.25">
      <c r="D29" s="99"/>
      <c r="E29" s="99"/>
      <c r="F29" s="99"/>
      <c r="I29" s="40"/>
      <c r="J29" s="40"/>
      <c r="K29" s="40"/>
    </row>
    <row r="30" spans="1:19" x14ac:dyDescent="0.25">
      <c r="D30" s="99"/>
      <c r="E30" s="99"/>
      <c r="F30" s="99"/>
      <c r="I30" s="40"/>
      <c r="J30" s="40"/>
      <c r="K30" s="40"/>
    </row>
    <row r="31" spans="1:19" x14ac:dyDescent="0.25">
      <c r="D31" s="99"/>
      <c r="E31" s="99"/>
      <c r="F31" s="99"/>
      <c r="I31" s="40"/>
      <c r="J31" s="40"/>
      <c r="K31" s="40"/>
    </row>
    <row r="32" spans="1:19" x14ac:dyDescent="0.25">
      <c r="D32" s="99"/>
      <c r="E32" s="99"/>
      <c r="F32" s="99"/>
      <c r="I32" s="40"/>
      <c r="J32" s="40"/>
      <c r="K32" s="40"/>
    </row>
    <row r="33" spans="4:11" x14ac:dyDescent="0.25">
      <c r="D33" s="99"/>
      <c r="E33" s="99"/>
      <c r="F33" s="99"/>
      <c r="I33" s="40"/>
      <c r="J33" s="40"/>
      <c r="K33" s="40"/>
    </row>
    <row r="34" spans="4:11" x14ac:dyDescent="0.25">
      <c r="D34" s="99"/>
      <c r="E34" s="99"/>
      <c r="F34" s="99"/>
      <c r="I34" s="40"/>
      <c r="J34" s="40"/>
      <c r="K34" s="40"/>
    </row>
    <row r="35" spans="4:11" x14ac:dyDescent="0.25">
      <c r="D35" s="99"/>
      <c r="E35" s="99"/>
      <c r="F35" s="99"/>
      <c r="I35" s="40"/>
      <c r="J35" s="40"/>
      <c r="K35" s="40"/>
    </row>
    <row r="36" spans="4:11" x14ac:dyDescent="0.25">
      <c r="D36" s="99"/>
      <c r="E36" s="99"/>
      <c r="F36" s="99"/>
      <c r="I36" s="40"/>
      <c r="J36" s="40"/>
      <c r="K36" s="40"/>
    </row>
    <row r="37" spans="4:11" x14ac:dyDescent="0.25">
      <c r="D37" s="98"/>
      <c r="E37" s="98"/>
      <c r="F37" s="98"/>
      <c r="I37" s="40"/>
      <c r="J37" s="40"/>
      <c r="K37" s="40"/>
    </row>
    <row r="38" spans="4:11" x14ac:dyDescent="0.25">
      <c r="D38" s="98"/>
      <c r="E38" s="98"/>
      <c r="F38" s="98"/>
      <c r="J38" s="40"/>
      <c r="K38" s="40"/>
    </row>
    <row r="39" spans="4:11" x14ac:dyDescent="0.25">
      <c r="D39" s="99"/>
      <c r="E39" s="99"/>
      <c r="F39" s="99"/>
    </row>
    <row r="40" spans="4:11" x14ac:dyDescent="0.25">
      <c r="D40" s="99"/>
      <c r="E40" s="99"/>
      <c r="F40" s="99"/>
    </row>
    <row r="41" spans="4:11" x14ac:dyDescent="0.25">
      <c r="D41" s="99"/>
      <c r="E41" s="99"/>
      <c r="F41" s="99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D49E-853A-49F6-AD4D-C89CC2595DE3}">
  <dimension ref="B1:X21"/>
  <sheetViews>
    <sheetView zoomScale="90" zoomScaleNormal="90" workbookViewId="0">
      <selection activeCell="AB20" sqref="AB20"/>
    </sheetView>
  </sheetViews>
  <sheetFormatPr defaultColWidth="9.140625" defaultRowHeight="15" x14ac:dyDescent="0.25"/>
  <cols>
    <col min="1" max="1" width="4.5703125" style="79" customWidth="1"/>
    <col min="2" max="2" width="10.42578125" style="79" customWidth="1"/>
    <col min="3" max="4" width="9.140625" style="79"/>
    <col min="5" max="5" width="14.5703125" style="79" customWidth="1"/>
    <col min="6" max="6" width="9.140625" style="79"/>
    <col min="7" max="7" width="15.5703125" style="79" customWidth="1"/>
    <col min="8" max="8" width="9.140625" style="79"/>
    <col min="9" max="9" width="1.140625" style="79" customWidth="1"/>
    <col min="10" max="16" width="9.140625" style="79"/>
    <col min="17" max="18" width="3.5703125" style="79" customWidth="1"/>
    <col min="19" max="16384" width="9.140625" style="79"/>
  </cols>
  <sheetData>
    <row r="1" spans="2:21" ht="3.75" customHeight="1" x14ac:dyDescent="0.25"/>
    <row r="2" spans="2:21" x14ac:dyDescent="0.25">
      <c r="B2" s="251" t="s">
        <v>134</v>
      </c>
      <c r="C2" s="251"/>
      <c r="D2" s="251"/>
      <c r="E2" s="251"/>
      <c r="F2" s="249" t="s">
        <v>80</v>
      </c>
      <c r="G2" s="249"/>
      <c r="H2" s="249"/>
      <c r="I2" s="80"/>
      <c r="J2" s="251" t="s">
        <v>132</v>
      </c>
      <c r="K2" s="251"/>
      <c r="L2" s="251"/>
      <c r="M2" s="251"/>
      <c r="N2" s="249" t="s">
        <v>83</v>
      </c>
      <c r="O2" s="249"/>
      <c r="P2" s="249"/>
      <c r="Q2" s="80"/>
      <c r="R2" s="80"/>
      <c r="S2" s="251" t="s">
        <v>126</v>
      </c>
      <c r="T2" s="251"/>
      <c r="U2" s="145">
        <v>2025</v>
      </c>
    </row>
    <row r="3" spans="2:21" x14ac:dyDescent="0.25">
      <c r="B3" s="251" t="s">
        <v>133</v>
      </c>
      <c r="C3" s="251"/>
      <c r="D3" s="251"/>
      <c r="E3" s="251"/>
      <c r="F3" s="249" t="s">
        <v>81</v>
      </c>
      <c r="G3" s="249"/>
      <c r="H3" s="249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2:21" ht="1.35" customHeight="1" x14ac:dyDescent="0.25"/>
    <row r="18" spans="2:24" ht="6.75" customHeight="1" x14ac:dyDescent="0.25"/>
    <row r="19" spans="2:24" ht="5.25" customHeight="1" x14ac:dyDescent="0.25"/>
    <row r="20" spans="2:24" s="81" customFormat="1" x14ac:dyDescent="0.25">
      <c r="B20" s="250" t="s">
        <v>132</v>
      </c>
      <c r="C20" s="250"/>
      <c r="D20" s="250"/>
      <c r="E20" s="250"/>
      <c r="F20" s="248" t="s">
        <v>81</v>
      </c>
      <c r="G20" s="248"/>
      <c r="H20" s="248"/>
      <c r="O20" s="250" t="s">
        <v>132</v>
      </c>
      <c r="P20" s="250"/>
      <c r="Q20" s="250"/>
      <c r="R20" s="250"/>
      <c r="S20" s="250"/>
      <c r="T20" s="248" t="s">
        <v>6</v>
      </c>
      <c r="U20" s="248"/>
      <c r="V20" s="248"/>
      <c r="W20" s="248"/>
      <c r="X20" s="248"/>
    </row>
    <row r="21" spans="2:24" s="81" customFormat="1" x14ac:dyDescent="0.25">
      <c r="B21" s="250" t="s">
        <v>126</v>
      </c>
      <c r="C21" s="250"/>
      <c r="D21" s="250"/>
      <c r="E21" s="250"/>
      <c r="F21" s="249">
        <v>2025</v>
      </c>
      <c r="G21" s="249"/>
      <c r="H21" s="249"/>
    </row>
  </sheetData>
  <mergeCells count="13">
    <mergeCell ref="T20:X20"/>
    <mergeCell ref="F2:H2"/>
    <mergeCell ref="F3:H3"/>
    <mergeCell ref="F21:H21"/>
    <mergeCell ref="B21:E21"/>
    <mergeCell ref="B20:E20"/>
    <mergeCell ref="F20:H20"/>
    <mergeCell ref="O20:S20"/>
    <mergeCell ref="S2:T2"/>
    <mergeCell ref="B2:E2"/>
    <mergeCell ref="B3:E3"/>
    <mergeCell ref="J2:M2"/>
    <mergeCell ref="N2:P2"/>
  </mergeCells>
  <dataValidations count="4">
    <dataValidation type="list" allowBlank="1" showInputMessage="1" showErrorMessage="1" sqref="T20 F2:F3" xr:uid="{3E6CC772-2AAB-4AD0-A3D6-39532E581268}">
      <formula1>List1</formula1>
    </dataValidation>
    <dataValidation type="list" allowBlank="1" showInputMessage="1" showErrorMessage="1" sqref="N2" xr:uid="{3D62F296-CEC4-4A85-A2D7-B4EEB2B274B5}">
      <formula1>List2</formula1>
    </dataValidation>
    <dataValidation type="list" allowBlank="1" showInputMessage="1" showErrorMessage="1" sqref="F20" xr:uid="{EBC18753-CD2B-4717-AE19-6F1D8CEF1D72}">
      <formula1>List3</formula1>
    </dataValidation>
    <dataValidation type="list" allowBlank="1" showInputMessage="1" showErrorMessage="1" sqref="F21:H21 U2" xr:uid="{6E9DB746-D20B-4997-8B41-F947BA09EB3A}">
      <formula1>"2025,2024,2023,2022,2021,2020,2019"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2"/>
  <sheetViews>
    <sheetView showGridLines="0"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M19" sqref="M19"/>
    </sheetView>
  </sheetViews>
  <sheetFormatPr defaultColWidth="9.140625" defaultRowHeight="15" x14ac:dyDescent="0.25"/>
  <cols>
    <col min="1" max="1" width="40.140625" style="1" customWidth="1"/>
    <col min="2" max="3" width="11.85546875" style="1" bestFit="1" customWidth="1"/>
    <col min="4" max="4" width="12" style="1" bestFit="1" customWidth="1"/>
    <col min="5" max="6" width="11.85546875" style="1" bestFit="1" customWidth="1"/>
    <col min="7" max="7" width="12.85546875" style="1" bestFit="1" customWidth="1"/>
    <col min="8" max="8" width="11.85546875" style="1" bestFit="1" customWidth="1"/>
    <col min="9" max="9" width="13.7109375" style="1" bestFit="1" customWidth="1"/>
    <col min="10" max="16384" width="9.140625" style="1"/>
  </cols>
  <sheetData>
    <row r="1" spans="1:9" ht="15.75" thickBot="1" x14ac:dyDescent="0.3">
      <c r="H1" s="36"/>
    </row>
    <row r="2" spans="1:9" s="19" customFormat="1" ht="21.75" customHeight="1" thickBot="1" x14ac:dyDescent="0.3">
      <c r="A2" s="136" t="s">
        <v>0</v>
      </c>
      <c r="B2" s="137">
        <f>'1.Pozitia Financiara'!B3</f>
        <v>2019</v>
      </c>
      <c r="C2" s="137">
        <f>'1.Pozitia Financiara'!C3</f>
        <v>2020</v>
      </c>
      <c r="D2" s="137">
        <f>'1.Pozitia Financiara'!D3</f>
        <v>2021</v>
      </c>
      <c r="E2" s="137">
        <f>'1.Pozitia Financiara'!E3</f>
        <v>2022</v>
      </c>
      <c r="F2" s="137">
        <f>'1.Pozitia Financiara'!F3</f>
        <v>2023</v>
      </c>
      <c r="G2" s="137">
        <f>'1.Pozitia Financiara'!G3</f>
        <v>2024</v>
      </c>
      <c r="H2" s="137">
        <f>'1.Pozitia Financiara'!H3</f>
        <v>2025</v>
      </c>
    </row>
    <row r="3" spans="1:9" x14ac:dyDescent="0.25">
      <c r="A3" s="7" t="s">
        <v>54</v>
      </c>
      <c r="B3" s="7">
        <f>'2.Sit. Rezultatului global'!B19</f>
        <v>370097.9599999818</v>
      </c>
      <c r="C3" s="7">
        <f>'2.Sit. Rezultatului global'!C19</f>
        <v>869105.43999996176</v>
      </c>
      <c r="D3" s="7">
        <f>'2.Sit. Rezultatului global'!D19</f>
        <v>-1447458</v>
      </c>
      <c r="E3" s="7">
        <f>'2.Sit. Rezultatului global'!E19</f>
        <v>51471690</v>
      </c>
      <c r="F3" s="7">
        <f>'2.Sit. Rezultatului global'!F19</f>
        <v>3313809</v>
      </c>
      <c r="G3" s="7">
        <f>'2.Sit. Rezultatului global'!G19</f>
        <v>-5992980</v>
      </c>
      <c r="H3" s="144">
        <f>'2.Sit. Rezultatului global'!H19</f>
        <v>1903619</v>
      </c>
    </row>
    <row r="4" spans="1:9" x14ac:dyDescent="0.25">
      <c r="A4" s="7" t="s">
        <v>55</v>
      </c>
      <c r="B4" s="7">
        <f>-'2.Sit. Rezultatului global'!B18</f>
        <v>217442</v>
      </c>
      <c r="C4" s="7">
        <f>-'2.Sit. Rezultatului global'!C18</f>
        <v>238297</v>
      </c>
      <c r="D4" s="7">
        <f>-'2.Sit. Rezultatului global'!D18</f>
        <v>889087</v>
      </c>
      <c r="E4" s="7">
        <f>-'2.Sit. Rezultatului global'!E18</f>
        <v>912071</v>
      </c>
      <c r="F4" s="7">
        <f>-'2.Sit. Rezultatului global'!F18</f>
        <v>182523</v>
      </c>
      <c r="G4" s="7">
        <f>-'2.Sit. Rezultatului global'!G18</f>
        <v>-1653756</v>
      </c>
      <c r="H4" s="144">
        <f>-'2.Sit. Rezultatului global'!H18</f>
        <v>-126811</v>
      </c>
    </row>
    <row r="5" spans="1:9" x14ac:dyDescent="0.25">
      <c r="A5" s="7" t="s">
        <v>56</v>
      </c>
      <c r="B5" s="7">
        <v>1472607.34</v>
      </c>
      <c r="C5" s="7">
        <v>1159858</v>
      </c>
      <c r="D5" s="7">
        <v>953055</v>
      </c>
      <c r="E5" s="7">
        <v>1286399</v>
      </c>
      <c r="F5" s="7">
        <v>1807462</v>
      </c>
      <c r="G5" s="7">
        <v>2254405</v>
      </c>
      <c r="H5" s="144">
        <v>2285295</v>
      </c>
    </row>
    <row r="6" spans="1:9" x14ac:dyDescent="0.25">
      <c r="A6" s="13" t="s">
        <v>48</v>
      </c>
      <c r="B6" s="13">
        <f t="shared" ref="B6:H6" si="0">B3+B4+B5</f>
        <v>2060147.2999999819</v>
      </c>
      <c r="C6" s="13">
        <f t="shared" si="0"/>
        <v>2267260.4399999618</v>
      </c>
      <c r="D6" s="13">
        <f t="shared" si="0"/>
        <v>394684</v>
      </c>
      <c r="E6" s="13">
        <f t="shared" si="0"/>
        <v>53670160</v>
      </c>
      <c r="F6" s="13">
        <f t="shared" si="0"/>
        <v>5303794</v>
      </c>
      <c r="G6" s="13">
        <f t="shared" si="0"/>
        <v>-5392331</v>
      </c>
      <c r="H6" s="123">
        <f t="shared" si="0"/>
        <v>4062103</v>
      </c>
    </row>
    <row r="7" spans="1:9" x14ac:dyDescent="0.25">
      <c r="A7" s="7" t="s">
        <v>57</v>
      </c>
      <c r="B7" s="7">
        <v>10634489.470000001</v>
      </c>
      <c r="C7" s="7">
        <v>10202833</v>
      </c>
      <c r="D7" s="7">
        <v>9977583</v>
      </c>
      <c r="E7" s="7">
        <v>9609158</v>
      </c>
      <c r="F7" s="7">
        <v>9392805</v>
      </c>
      <c r="G7" s="7">
        <v>9829769</v>
      </c>
      <c r="H7" s="144">
        <v>9083643</v>
      </c>
    </row>
    <row r="8" spans="1:9" x14ac:dyDescent="0.25">
      <c r="A8" s="7" t="s">
        <v>58</v>
      </c>
      <c r="B8" s="7">
        <v>2275212.77</v>
      </c>
      <c r="C8" s="7">
        <v>2262431</v>
      </c>
      <c r="D8" s="7">
        <v>2259451</v>
      </c>
      <c r="E8" s="7">
        <v>2206664</v>
      </c>
      <c r="F8" s="7">
        <v>2113978</v>
      </c>
      <c r="G8" s="7">
        <v>1839055</v>
      </c>
      <c r="H8" s="144">
        <v>1517554</v>
      </c>
    </row>
    <row r="9" spans="1:9" x14ac:dyDescent="0.25">
      <c r="A9" s="13" t="s">
        <v>24</v>
      </c>
      <c r="B9" s="13">
        <f t="shared" ref="B9:H9" si="1">B6+B7-B8</f>
        <v>10419423.999999983</v>
      </c>
      <c r="C9" s="13">
        <f t="shared" si="1"/>
        <v>10207662.439999962</v>
      </c>
      <c r="D9" s="13">
        <f t="shared" si="1"/>
        <v>8112816</v>
      </c>
      <c r="E9" s="13">
        <f t="shared" si="1"/>
        <v>61072654</v>
      </c>
      <c r="F9" s="13">
        <f>F6+F7-F8</f>
        <v>12582621</v>
      </c>
      <c r="G9" s="13">
        <f t="shared" si="1"/>
        <v>2598383</v>
      </c>
      <c r="H9" s="123">
        <f t="shared" si="1"/>
        <v>11628192</v>
      </c>
    </row>
    <row r="12" spans="1:9" x14ac:dyDescent="0.25">
      <c r="A12" s="1" t="s">
        <v>78</v>
      </c>
    </row>
    <row r="14" spans="1:9" x14ac:dyDescent="0.25">
      <c r="A14" s="1" t="s">
        <v>23</v>
      </c>
    </row>
    <row r="15" spans="1:9" x14ac:dyDescent="0.25">
      <c r="F15" s="40"/>
      <c r="G15" s="40"/>
      <c r="H15" s="40"/>
      <c r="I15" s="98"/>
    </row>
    <row r="16" spans="1:9" x14ac:dyDescent="0.25">
      <c r="G16" s="98"/>
      <c r="H16" s="98"/>
      <c r="I16" s="98"/>
    </row>
    <row r="17" spans="7:9" x14ac:dyDescent="0.25">
      <c r="G17" s="98"/>
      <c r="H17" s="98"/>
      <c r="I17" s="98"/>
    </row>
    <row r="18" spans="7:9" x14ac:dyDescent="0.25">
      <c r="G18" s="98"/>
      <c r="H18" s="98"/>
      <c r="I18" s="98"/>
    </row>
    <row r="19" spans="7:9" x14ac:dyDescent="0.25">
      <c r="G19" s="98"/>
      <c r="H19" s="98"/>
      <c r="I19" s="98"/>
    </row>
    <row r="22" spans="7:9" x14ac:dyDescent="0.25">
      <c r="G22" s="118"/>
      <c r="H22" s="118"/>
      <c r="I22" s="118"/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eb21d21-9938-4ab8-bb7d-321daa53b3ce}" enabled="1" method="Standard" siteId="{da7cd86b-2037-41c5-9ffe-1c010686ff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Cuprins</vt:lpstr>
      <vt:lpstr>HiddenPage</vt:lpstr>
      <vt:lpstr>Snapshots</vt:lpstr>
      <vt:lpstr>1.Pozitia Financiara</vt:lpstr>
      <vt:lpstr>2.Sit. Rezultatului global</vt:lpstr>
      <vt:lpstr>3.Fluxurile de numerar</vt:lpstr>
      <vt:lpstr>4.Indicatori financiari</vt:lpstr>
      <vt:lpstr>Grafice</vt:lpstr>
      <vt:lpstr>EBIT-EBITDA</vt:lpstr>
      <vt:lpstr>List1</vt:lpstr>
      <vt:lpstr>List2</vt:lpstr>
      <vt:lpstr>List3</vt:lpstr>
      <vt:lpstr>Selection1</vt:lpstr>
      <vt:lpstr>Selection2</vt:lpstr>
      <vt:lpstr>Selection3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2026-05-20T14:26:36Z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b21d21-9938-4ab8-bb7d-321daa53b3ce_Enabled">
    <vt:lpwstr>True</vt:lpwstr>
  </property>
  <property fmtid="{D5CDD505-2E9C-101B-9397-08002B2CF9AE}" pid="3" name="MSIP_Label_beb21d21-9938-4ab8-bb7d-321daa53b3ce_SiteId">
    <vt:lpwstr>da7cd86b-2037-41c5-9ffe-1c010686ff18</vt:lpwstr>
  </property>
  <property fmtid="{D5CDD505-2E9C-101B-9397-08002B2CF9AE}" pid="4" name="MSIP_Label_beb21d21-9938-4ab8-bb7d-321daa53b3ce_Owner">
    <vt:lpwstr>adrian.coman@romcarbon.com</vt:lpwstr>
  </property>
  <property fmtid="{D5CDD505-2E9C-101B-9397-08002B2CF9AE}" pid="5" name="MSIP_Label_beb21d21-9938-4ab8-bb7d-321daa53b3ce_SetDate">
    <vt:lpwstr>2020-02-08T09:28:08.5395460Z</vt:lpwstr>
  </property>
  <property fmtid="{D5CDD505-2E9C-101B-9397-08002B2CF9AE}" pid="6" name="MSIP_Label_beb21d21-9938-4ab8-bb7d-321daa53b3ce_Name">
    <vt:lpwstr>General</vt:lpwstr>
  </property>
  <property fmtid="{D5CDD505-2E9C-101B-9397-08002B2CF9AE}" pid="7" name="MSIP_Label_beb21d21-9938-4ab8-bb7d-321daa53b3ce_Application">
    <vt:lpwstr>Microsoft Azure Information Protection</vt:lpwstr>
  </property>
  <property fmtid="{D5CDD505-2E9C-101B-9397-08002B2CF9AE}" pid="8" name="MSIP_Label_beb21d21-9938-4ab8-bb7d-321daa53b3ce_ActionId">
    <vt:lpwstr>b0426b90-f439-480a-a304-a05548880ac6</vt:lpwstr>
  </property>
  <property fmtid="{D5CDD505-2E9C-101B-9397-08002B2CF9AE}" pid="9" name="MSIP_Label_beb21d21-9938-4ab8-bb7d-321daa53b3ce_Extended_MSFT_Method">
    <vt:lpwstr>Automatic</vt:lpwstr>
  </property>
  <property fmtid="{D5CDD505-2E9C-101B-9397-08002B2CF9AE}" pid="10" name="Sensitivity">
    <vt:lpwstr>General</vt:lpwstr>
  </property>
</Properties>
</file>